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4hyuLe7c4acU5QWkI7pwZmJDsQI11NoFmqCWgCpvxjv3TfJ0J0ee9eDyiwlL54dPIWaPnCkDNVYttZ85riDjhw==" workbookSaltValue="KB2jzheSOP6TjNBPshUy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D18" i="7" l="1"/>
  <c r="S19" i="8"/>
  <c r="AC19" i="8"/>
  <c r="AL16" i="11"/>
  <c r="C16" i="6"/>
  <c r="F12" i="21"/>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P12" i="11"/>
  <c r="D19" i="12"/>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<sst xmlns="http://schemas.openxmlformats.org/spreadsheetml/2006/main" count="2102" uniqueCount="918">
  <si>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</si>
  <si>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</si>
  <si>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</si>
  <si>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</si>
  <si>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</si>
  <si>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</si>
  <si>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</si>
  <si>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</si>
  <si>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</si>
  <si>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</si>
  <si>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</si>
  <si>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</si>
  <si>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</si>
  <si>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</si>
  <si>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</si>
  <si>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</si>
  <si>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</si>
  <si>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</si>
  <si>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</si>
  <si>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</si>
  <si>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</si>
  <si>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</si>
  <si>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</si>
  <si>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</si>
  <si>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</si>
  <si>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</si>
  <si>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</si>
  <si>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</si>
  <si>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</si>
  <si>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</si>
  <si>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</si>
  <si>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</si>
  <si>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</si>
  <si>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</si>
  <si>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</si>
  <si>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</si>
  <si>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</si>
  <si>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</si>
  <si>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</si>
  <si>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</si>
  <si>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</si>
  <si>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</si>
  <si>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</si>
  <si>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</si>
  <si>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</si>
  <si>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</si>
  <si>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</si>
  <si>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</si>
  <si>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</si>
  <si>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</si>
  <si>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</si>
  <si>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</si>
  <si>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</si>
  <si>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</si>
  <si>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</si>
  <si>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</si>
  <si>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</si>
  <si>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</si>
  <si>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</si>
  <si>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</si>
  <si>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</si>
  <si>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</si>
  <si>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</si>
  <si>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</si>
  <si>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</si>
  <si>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</si>
  <si>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</si>
  <si>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</si>
  <si>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</si>
  <si>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</si>
  <si>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</si>
  <si>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</si>
  <si>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</si>
  <si>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</si>
  <si>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</si>
  <si>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</si>
  <si>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</si>
  <si>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</si>
  <si>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</si>
  <si>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</si>
  <si>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</si>
  <si>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</si>
  <si>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</si>
  <si>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</si>
  <si>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</si>
  <si>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</si>
  <si>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</si>
  <si>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</si>
  <si>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</si>
  <si>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</si>
  <si>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</si>
  <si>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</si>
  <si>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</si>
  <si>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</si>
  <si>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</si>
  <si>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</si>
  <si>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</si>
  <si>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</si>
  <si>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</si>
  <si>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</si>
  <si>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</si>
  <si>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</si>
  <si>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</si>
  <si>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</si>
  <si>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</si>
  <si>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</si>
  <si>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</si>
  <si>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</si>
  <si>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</si>
  <si>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</si>
  <si>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</si>
  <si>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</si>
  <si>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</si>
  <si>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</si>
  <si>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</si>
  <si>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</si>
  <si>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</si>
  <si>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</si>
  <si>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</si>
  <si>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</si>
  <si>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</si>
  <si>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</si>
  <si>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</si>
  <si>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</si>
  <si>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</si>
  <si>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</si>
  <si>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</si>
  <si>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</si>
  <si>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</si>
  <si>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</si>
  <si>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</si>
  <si>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</si>
  <si>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</si>
  <si>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</si>
  <si>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</si>
  <si>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</si>
  <si>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</si>
  <si>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</si>
  <si>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</si>
  <si>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</si>
  <si>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</si>
  <si>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</si>
  <si>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</si>
  <si>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</si>
  <si>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</si>
  <si>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</si>
  <si>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</si>
  <si>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</si>
  <si>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</si>
  <si>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</si>
  <si>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</si>
  <si>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</si>
  <si>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</si>
  <si>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</si>
  <si>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</si>
  <si>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</si>
  <si>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</si>
  <si>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</si>
  <si>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</si>
  <si>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</si>
  <si>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</si>
  <si>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</si>
  <si>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</si>
  <si>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</si>
  <si>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</si>
  <si>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</si>
  <si>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</si>
  <si>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</si>
  <si>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</si>
  <si>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</si>
  <si>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</si>
  <si>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</si>
  <si>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</si>
  <si>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</si>
  <si>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</si>
  <si>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</si>
  <si>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</si>
  <si>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</si>
  <si>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</si>
  <si>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</si>
  <si>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</si>
  <si>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</si>
  <si>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</si>
  <si>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</si>
  <si>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</si>
  <si>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</si>
  <si>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</si>
  <si>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</si>
  <si>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</si>
  <si>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</si>
  <si>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</si>
  <si>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</si>
  <si>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</si>
  <si>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</si>
  <si>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</si>
  <si>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</si>
  <si>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</si>
  <si>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</si>
  <si>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</si>
  <si>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</si>
  <si>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</si>
  <si>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</si>
  <si>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</si>
  <si>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</si>
  <si>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</si>
  <si>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</si>
  <si>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</si>
  <si>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</si>
  <si>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</si>
  <si>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</si>
  <si>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</si>
  <si>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</si>
  <si>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</si>
  <si>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</si>
  <si>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</si>
  <si>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</si>
  <si>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</si>
  <si>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</si>
  <si>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</si>
  <si>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</si>
  <si>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</si>
  <si>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</si>
  <si>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</si>
  <si>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</si>
  <si>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</si>
  <si>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</si>
  <si>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</si>
  <si>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</si>
  <si>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</si>
  <si>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</si>
  <si>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</si>
  <si>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</si>
  <si>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</si>
  <si>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</si>
  <si>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</si>
  <si>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</si>
  <si>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</si>
  <si>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</si>
  <si>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</si>
  <si>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</si>
  <si>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</si>
  <si>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</si>
  <si>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</si>
  <si>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</si>
  <si>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</si>
  <si>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</si>
  <si>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</si>
  <si>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</si>
  <si>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</si>
  <si>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</si>
  <si>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</si>
  <si>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</si>
  <si>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</si>
  <si>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</si>
  <si>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</si>
  <si>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</si>
  <si>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</si>
  <si>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</si>
  <si>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</si>
  <si>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</si>
  <si>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</si>
  <si>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</si>
  <si>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</si>
  <si>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</si>
  <si>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</si>
  <si>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</si>
  <si>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</si>
  <si>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</si>
  <si>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</si>
  <si>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</si>
  <si>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</si>
  <si>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</si>
  <si>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</si>
  <si>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</si>
  <si>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</si>
  <si>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</si>
  <si>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</si>
  <si>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</si>
  <si>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</si>
  <si>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</si>
  <si>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</si>
  <si>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</si>
  <si>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</si>
  <si>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</si>
  <si>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</si>
  <si>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</si>
  <si>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</si>
  <si>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</si>
  <si>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</si>
  <si>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</si>
  <si>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</si>
  <si>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</si>
  <si>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</si>
  <si>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</si>
  <si>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</si>
  <si>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</si>
  <si>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</si>
  <si>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</si>
  <si>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</si>
  <si>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</si>
  <si>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</si>
  <si>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</si>
  <si>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</si>
  <si>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</si>
  <si>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</si>
  <si>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</si>
  <si>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</si>
  <si>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</si>
  <si>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</si>
  <si>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</si>
  <si>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</si>
  <si>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</si>
  <si>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</si>
  <si>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</si>
  <si>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</si>
  <si>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</si>
  <si>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</si>
  <si>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</si>
  <si>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</si>
  <si>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</si>
  <si>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</si>
  <si>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</si>
  <si>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</si>
  <si>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</si>
  <si>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</si>
  <si>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</si>
  <si>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</si>
  <si>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</si>
  <si>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</si>
  <si>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</si>
  <si>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</si>
  <si>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</si>
  <si>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</si>
  <si>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</si>
  <si>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</si>
  <si>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</si>
  <si>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</si>
  <si>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</si>
  <si>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</si>
  <si>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</si>
  <si>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</si>
  <si>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</si>
  <si>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</si>
  <si>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</si>
  <si>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</si>
  <si>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</si>
  <si>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</si>
  <si>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</si>
  <si>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</si>
  <si>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</si>
  <si>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</si>
  <si>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</si>
  <si>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</si>
  <si>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</si>
  <si>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</si>
  <si>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</si>
  <si>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</si>
  <si>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</si>
  <si>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</si>
  <si>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</si>
  <si>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</si>
  <si>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</si>
  <si>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</si>
  <si>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</si>
  <si>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</si>
  <si>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</si>
  <si>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</si>
  <si>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</si>
  <si>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</si>
  <si>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</si>
  <si>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</si>
  <si>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</si>
  <si>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</si>
  <si>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</si>
  <si>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</si>
  <si>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</si>
  <si>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</si>
  <si>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</si>
  <si>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</si>
  <si>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</si>
  <si>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</si>
  <si>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</si>
  <si>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</si>
  <si>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</si>
  <si>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</si>
  <si>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</si>
  <si>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</si>
  <si>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</si>
  <si>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</si>
  <si>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</si>
  <si>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</si>
  <si>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</si>
  <si>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</si>
  <si>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</si>
  <si>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</si>
  <si>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</si>
  <si>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</si>
  <si>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</si>
  <si>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</si>
  <si>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</si>
  <si>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</si>
  <si>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</si>
  <si>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</si>
  <si>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</si>
  <si>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</si>
  <si>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</si>
  <si>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</si>
  <si>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</si>
  <si>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</si>
  <si>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</si>
  <si>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</si>
  <si>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</si>
  <si>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</si>
  <si>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</si>
  <si>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</si>
  <si>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</si>
  <si>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</si>
  <si>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</si>
  <si>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</si>
  <si>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</si>
  <si>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</si>
  <si>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</si>
  <si>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</si>
  <si>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</si>
  <si>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</si>
  <si>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</si>
  <si>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</si>
  <si>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</si>
  <si>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</si>
  <si>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</si>
  <si>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</si>
  <si>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</si>
  <si>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</si>
  <si>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</si>
  <si>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</si>
  <si>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</si>
  <si>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</si>
  <si>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</si>
  <si>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</si>
  <si>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</si>
  <si>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</si>
  <si>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</si>
  <si>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</si>
  <si>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</si>
  <si>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</si>
  <si>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</si>
  <si>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</si>
  <si>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</si>
  <si>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</si>
  <si>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</si>
  <si>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</si>
  <si>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</si>
  <si>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</si>
  <si>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</si>
  <si>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</si>
  <si>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</si>
  <si>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</si>
  <si>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</si>
  <si>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</si>
  <si>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</si>
  <si>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</si>
  <si>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</si>
  <si>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</si>
  <si>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</si>
  <si>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</si>
  <si>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</si>
  <si>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</si>
  <si>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</si>
  <si>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</si>
  <si>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</si>
  <si>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</si>
  <si>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</si>
  <si>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</si>
  <si>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</si>
  <si>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</si>
  <si>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</si>
  <si>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</si>
  <si>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</si>
  <si>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</si>
  <si>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</si>
  <si>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</si>
  <si>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</si>
  <si>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</si>
  <si>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</si>
  <si>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</si>
  <si>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</si>
  <si>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</si>
  <si>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</si>
  <si>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</si>
  <si>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</si>
  <si>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</si>
  <si>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</si>
  <si>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</si>
  <si>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</si>
  <si>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</si>
  <si>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</si>
  <si>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</si>
  <si>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</si>
  <si>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</si>
  <si>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</si>
  <si>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</si>
  <si>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</si>
  <si>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</si>
  <si>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</si>
  <si>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</si>
  <si>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</si>
  <si>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</si>
  <si>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</si>
  <si>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</si>
  <si>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</si>
  <si>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</si>
  <si>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</si>
  <si>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</si>
  <si>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</si>
  <si>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</si>
  <si>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</si>
  <si>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</si>
  <si>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</si>
  <si>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</si>
  <si>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</si>
  <si>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</si>
  <si>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</si>
  <si>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</si>
  <si>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</si>
  <si>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</si>
  <si>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</si>
  <si>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</si>
  <si>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</si>
  <si>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</si>
  <si>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</si>
  <si>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</si>
  <si>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</si>
  <si>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</si>
  <si>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</si>
  <si>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</si>
  <si>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</si>
  <si>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</si>
  <si>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</si>
  <si>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</si>
  <si>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</si>
  <si>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</si>
  <si>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</si>
  <si>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</si>
  <si>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</si>
  <si>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</si>
  <si>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</si>
  <si>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</si>
  <si>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</si>
  <si>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</si>
  <si>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</si>
  <si>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</si>
  <si>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</si>
  <si>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</si>
  <si>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</si>
  <si>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</si>
  <si>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</si>
  <si>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</si>
  <si>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</si>
  <si>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</si>
  <si>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</si>
  <si>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</si>
  <si>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</si>
  <si>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</si>
  <si>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</si>
  <si>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</si>
  <si>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</si>
  <si>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</si>
  <si>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</si>
  <si>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</si>
  <si>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</si>
  <si>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</si>
  <si>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</si>
  <si>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</si>
  <si>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</si>
  <si>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</si>
  <si>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</si>
  <si>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</si>
  <si>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</si>
  <si>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</si>
  <si>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</si>
  <si>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</si>
  <si>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</si>
  <si>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</si>
  <si>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</si>
  <si>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</si>
  <si>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</si>
  <si>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</si>
  <si>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</si>
  <si>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</si>
  <si>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</si>
  <si>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</si>
  <si>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</si>
  <si>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</si>
  <si>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</si>
  <si>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</si>
  <si>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</si>
  <si>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</si>
  <si>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</si>
  <si>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</si>
  <si>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</si>
  <si>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</si>
  <si>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</si>
  <si>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</si>
  <si>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</si>
  <si>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</si>
  <si>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</si>
  <si>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</si>
  <si>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</si>
  <si>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</si>
  <si>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</si>
  <si>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</si>
  <si>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</si>
  <si>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</si>
  <si>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</si>
  <si>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</si>
  <si>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</si>
  <si>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</si>
  <si>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</si>
  <si>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</si>
  <si>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</si>
  <si>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</si>
  <si>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</si>
  <si>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</si>
  <si>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</si>
  <si>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</si>
  <si>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</si>
  <si>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</si>
  <si>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</si>
  <si>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</si>
  <si>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</si>
  <si>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</si>
  <si>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</si>
  <si>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</si>
  <si>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</si>
  <si>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</si>
  <si>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</si>
  <si>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</si>
  <si>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</si>
  <si>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</si>
  <si>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</si>
  <si>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</si>
  <si>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</si>
  <si>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</si>
  <si>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</si>
  <si>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</si>
  <si>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</si>
  <si>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</si>
  <si>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</si>
  <si>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</si>
  <si>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</si>
  <si>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</si>
  <si>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</si>
  <si>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</si>
  <si>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</si>
  <si>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</si>
  <si>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</si>
  <si>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</si>
  <si>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</si>
  <si>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</si>
  <si>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</si>
  <si>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</si>
  <si>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</si>
  <si>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</si>
  <si>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</si>
  <si>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</si>
  <si>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</si>
  <si>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</si>
  <si>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</si>
  <si>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</si>
  <si>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</si>
  <si>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</si>
  <si>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</si>
  <si>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</si>
  <si>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</si>
  <si>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</si>
  <si>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</si>
  <si>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</si>
  <si>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</si>
  <si>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</si>
  <si>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</si>
  <si>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</si>
  <si>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</si>
  <si>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</si>
  <si>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</si>
  <si>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</si>
  <si>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</si>
  <si>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</si>
  <si>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</si>
  <si>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</si>
  <si>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</si>
  <si>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</si>
  <si>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</si>
  <si>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</si>
  <si>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</si>
  <si>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</si>
  <si>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</si>
  <si>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</si>
  <si>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</si>
  <si>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</si>
  <si>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</si>
  <si>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</si>
  <si>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</si>
  <si>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</si>
  <si>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</si>
  <si>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</si>
  <si>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</si>
  <si>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</si>
  <si>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</si>
  <si>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</si>
  <si>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</si>
  <si>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</si>
  <si>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</si>
  <si>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</si>
  <si>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</si>
  <si>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</si>
  <si>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</si>
  <si>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</si>
  <si>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</si>
  <si>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</si>
  <si>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</si>
  <si>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</si>
  <si>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</si>
  <si>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</si>
  <si>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</si>
  <si>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</si>
  <si>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</si>
  <si>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</si>
  <si>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</si>
  <si>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</si>
  <si>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</si>
  <si>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</si>
  <si>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</si>
  <si>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</si>
  <si>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</si>
  <si>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</si>
  <si>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</si>
  <si>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</si>
  <si>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</si>
  <si>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</si>
  <si>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</si>
  <si>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</si>
  <si>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</si>
  <si>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</si>
  <si>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</si>
  <si>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</si>
  <si>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</si>
  <si>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</si>
  <si>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</si>
  <si>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</si>
  <si>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</si>
  <si>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</si>
  <si>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</si>
  <si>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</si>
  <si>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</si>
  <si>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</si>
  <si>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</si>
  <si>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</si>
  <si>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</si>
  <si>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</si>
  <si>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</si>
  <si>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</si>
  <si>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</si>
  <si>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</si>
  <si>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</si>
  <si>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</si>
  <si>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</si>
  <si>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</si>
  <si>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</si>
  <si>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</si>
  <si>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</si>
  <si>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</si>
  <si>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</si>
  <si>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</si>
  <si>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</si>
  <si>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</si>
  <si>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</si>
  <si>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</si>
  <si>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</si>
  <si>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</si>
  <si>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</si>
  <si>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</si>
  <si>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</si>
  <si>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</si>
  <si>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</si>
  <si>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</si>
  <si>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</si>
  <si>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</si>
  <si>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</si>
  <si>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</si>
  <si>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</si>
  <si>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</si>
  <si>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</si>
  <si>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</si>
  <si>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</si>
  <si>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</si>
  <si>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</si>
  <si>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</si>
  <si>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</si>
  <si>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</si>
  <si>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</si>
  <si>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</si>
  <si>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</si>
  <si>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</si>
  <si>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</si>
  <si>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</si>
  <si>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</si>
  <si>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</si>
  <si>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</si>
  <si>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</si>
  <si>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</si>
  <si>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</si>
  <si>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</si>
  <si>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</si>
  <si>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</si>
  <si>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</si>
  <si>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</si>
  <si>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</si>
  <si>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</si>
  <si>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</si>
  <si>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</si>
  <si>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</si>
  <si>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</si>
  <si>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</si>
  <si>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</si>
  <si>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</si>
  <si>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</si>
  <si>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</si>
  <si>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</si>
  <si>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</si>
  <si>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</si>
  <si>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</si>
  <si>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</si>
  <si>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</si>
  <si>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</si>
  <si>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</si>
  <si>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</si>
  <si>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</si>
  <si>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</si>
  <si>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</si>
  <si>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</si>
  <si>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</si>
  <si>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</si>
  <si>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</si>
  <si>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</si>
  <si>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</si>
  <si>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</si>
  <si>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</si>
  <si>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</si>
  <si>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</si>
  <si>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</si>
  <si>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</si>
  <si>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</si>
  <si>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</si>
  <si>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</si>
  <si>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</si>
  <si>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</si>
  <si>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</si>
  <si>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</si>
  <si>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</si>
  <si>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</si>
  <si>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</si>
  <si>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</si>
  <si>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</si>
  <si>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</si>
  <si>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</si>
  <si>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</si>
  <si>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</si>
  <si>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</si>
  <si>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</si>
  <si>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</si>
  <si>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</si>
  <si>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</si>
  <si>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</si>
  <si>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</si>
  <si>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</si>
  <si>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</si>
  <si>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</si>
  <si>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</si>
  <si>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</si>
  <si>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</si>
  <si>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</si>
  <si>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</si>
  <si>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</si>
  <si>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</si>
  <si>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</si>
  <si>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</si>
  <si>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</si>
  <si>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</si>
  <si>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</si>
  <si>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</si>
  <si>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</si>
  <si>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</si>
  <si>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</si>
  <si>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</si>
  <si>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</si>
  <si>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</si>
  <si>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</si>
  <si>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</si>
  <si>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</si>
  <si>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</si>
  <si>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</si>
  <si>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</si>
  <si>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</si>
  <si>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</si>
  <si>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</si>
  <si>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</si>
  <si>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</si>
  <si>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</si>
  <si>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</si>
  <si>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</si>
  <si>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</si>
  <si>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</si>
  <si>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</si>
  <si>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CANARIAS</t>
  </si>
  <si>
    <t>Provincias</t>
  </si>
  <si>
    <t>SANTA CRUZ DE TENERIFE</t>
  </si>
  <si>
    <t>Resumenes por Partidos Judiciales</t>
  </si>
  <si>
    <t>GÜIMAR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</si>
</sst>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nt2XjXub4DnX3jpO0M5a8iR0w4sDWG/keEI7BMXTya7hq0nG/wnGyBfYdUWxsq/UAVvUlXKYwLc1Q9w04u2ig==" saltValue="z0+zo9yOJZ2MyKMJl8Td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0</v>
      </c>
      <c r="F10" s="226">
        <f>IF(ISNUMBER(Datos!K10),Datos!K10," - ")</f>
        <v>3</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8.8405069344811089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0</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703</v>
      </c>
      <c r="D16" s="225">
        <f>IF(ISNUMBER(IF(D_I="SI",Datos!I16,Datos!I16+Datos!AC16)),IF(D_I="SI",Datos!I16,Datos!I16+Datos!AC16)," - ")</f>
        <v>679</v>
      </c>
      <c r="E16" s="226">
        <f>IF(ISNUMBER(IF(D_I="SI",Datos!J16,Datos!J16+Datos!AD16)),IF(D_I="SI",Datos!J16,Datos!J16+Datos!AD16)," - ")</f>
        <v>3114</v>
      </c>
      <c r="F16" s="226">
        <f>IF(ISNUMBER(IF(D_I="SI",Datos!K16,Datos!K16+Datos!AE16)),IF(D_I="SI",Datos!K16,Datos!K16+Datos!AE16)," - ")</f>
        <v>3189</v>
      </c>
      <c r="G16" s="1034" t="str">
        <f>IF(Datos!E16&lt;&gt;"",Datos!E16,Datos!D16)</f>
        <v>04</v>
      </c>
      <c r="H16" s="227">
        <f>IF(ISNUMBER(IF(D_I="SI",Datos!L16,Datos!L16+Datos!AF16)),IF(D_I="SI",Datos!L16,Datos!L16+Datos!AF16)," - ")</f>
        <v>628</v>
      </c>
      <c r="I16" s="1044" t="str">
        <f>IF(ISNUMBER(Datos!AS16/Datos!BM16),Datos!AS16/Datos!BM16," - ")</f>
        <v xml:space="preserve"> - </v>
      </c>
      <c r="J16" s="1045">
        <f>IF(ISNUMBER(Datos!BY16/Datos!CN16),Datos!BY16/Datos!CN16," - ")</f>
        <v>0</v>
      </c>
      <c r="K16" s="230">
        <f t="shared" si="3"/>
        <v>-0.10668563300142248</v>
      </c>
      <c r="L16" s="1025">
        <f>IF(ISNUMBER(NºAsuntos!I16/NºAsuntos!G16),(NºAsuntos!I16/NºAsuntos!G16)*11," - ")</f>
        <v>2.1661962997804958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17</v>
      </c>
      <c r="E17" s="226">
        <f>IF(ISNUMBER(IF(D_I="SI",Datos!J17,Datos!J17+Datos!AD17)),IF(D_I="SI",Datos!J17,Datos!J17+Datos!AD17)," - ")</f>
        <v>2</v>
      </c>
      <c r="F17" s="226">
        <f>IF(ISNUMBER(IF(D_I="SI",Datos!K17,Datos!K17+Datos!AE17)),IF(D_I="SI",Datos!K17,Datos!K17+Datos!AE17)," - ")</f>
        <v>17</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-0.83333333333333337</v>
      </c>
      <c r="L17" s="1025">
        <f>IF(ISNUMBER(NºAsuntos!I17/NºAsuntos!G17),(NºAsuntos!I17/NºAsuntos!G17)*11," - ")</f>
        <v>1.9411764705882355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721</v>
      </c>
      <c r="D18" s="1049">
        <f>SUBTOTAL(9,D15:D17)</f>
        <v>696</v>
      </c>
      <c r="E18" s="1050">
        <f>SUBTOTAL(9,E15:E17)</f>
        <v>3116</v>
      </c>
      <c r="F18" s="1050">
        <f>SUBTOTAL(9,F15:F17)</f>
        <v>3206</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724</v>
      </c>
      <c r="D19" s="1071">
        <f>SUBTOTAL(9,D9:D18)</f>
        <v>699</v>
      </c>
      <c r="E19" s="1072">
        <f>SUBTOTAL(9,E9:E18)</f>
        <v>3116</v>
      </c>
      <c r="F19" s="1072">
        <f>SUBTOTAL(9,F9:F18)</f>
        <v>3209</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AD4gi/hpeD5/8R+iUzPLCvhFP2Wg0jaB1ErxNugi//MzChvNfbA1n4dLys54GFaNn3sB8OUaWwfuOlhuAUFUw==" saltValue="q6YECYSi1SYVsXcivoz6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f/0xU+DRlklEdbf8IAp2kb8m15QPcZjQyzQ9tdEIEyJ7QBMeij5fi2h5Ai1PPOoUcTLuOj6Tvlwv7fthOkkqA==" saltValue="hYTLEveBvoGe8Z/5k33U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0</v>
      </c>
      <c r="K10" s="181">
        <v>3</v>
      </c>
      <c r="L10" s="181">
        <v>0</v>
      </c>
      <c r="M10" s="181">
        <v>3</v>
      </c>
      <c r="N10" s="181">
        <v>0</v>
      </c>
      <c r="O10" s="181">
        <v>0</v>
      </c>
      <c r="P10" s="181">
        <v>0</v>
      </c>
      <c r="Q10" s="181">
        <v>1</v>
      </c>
      <c r="R10" s="181">
        <v>0</v>
      </c>
      <c r="S10" s="181">
        <v>13</v>
      </c>
      <c r="T10" s="181">
        <v>2</v>
      </c>
      <c r="U10" s="181">
        <v>12</v>
      </c>
      <c r="V10" s="181">
        <v>3</v>
      </c>
      <c r="W10" s="181">
        <v>10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v>
      </c>
      <c r="BA10" s="129">
        <f t="shared" si="0"/>
        <v>12</v>
      </c>
      <c r="BB10" s="129">
        <f t="shared" si="0"/>
        <v>3</v>
      </c>
      <c r="BC10" s="125">
        <f t="shared" si="0"/>
        <v>10</v>
      </c>
      <c r="BD10" s="126">
        <f>IF(ISNUMBER(BA10/AZ10),BA10/AZ10," - ")</f>
        <v>6</v>
      </c>
      <c r="BE10" s="127">
        <f>IF(ISNUMBER(BB10/BA10),BB10/BA10, " - ")</f>
        <v>0.25</v>
      </c>
      <c r="BF10" s="127">
        <f>IF(ISNUMBER(BC10/BA10),BC10/BA10, " - ")</f>
        <v>0.83333333333333337</v>
      </c>
      <c r="BG10" s="196">
        <f>IF(ISNUMBER((AY10+AZ10)/BA10),(AY10+AZ10)/BA10," - ")</f>
        <v>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2724</v>
      </c>
      <c r="J12" s="183">
        <v>4637</v>
      </c>
      <c r="K12" s="183">
        <v>4040</v>
      </c>
      <c r="L12" s="183">
        <v>3321</v>
      </c>
      <c r="M12" s="183">
        <v>1172</v>
      </c>
      <c r="N12" s="183">
        <v>1841</v>
      </c>
      <c r="O12" s="181">
        <v>1372</v>
      </c>
      <c r="P12" s="183">
        <v>846</v>
      </c>
      <c r="Q12" s="183">
        <v>564</v>
      </c>
      <c r="R12" s="183">
        <v>3820</v>
      </c>
      <c r="S12" s="183">
        <v>2478</v>
      </c>
      <c r="T12" s="183">
        <v>3321</v>
      </c>
      <c r="U12" s="183">
        <v>3063</v>
      </c>
      <c r="V12" s="183">
        <v>2724</v>
      </c>
      <c r="W12" s="183">
        <v>781</v>
      </c>
      <c r="X12" s="189">
        <v>1428</v>
      </c>
      <c r="Y12" s="191">
        <v>22</v>
      </c>
      <c r="Z12" s="181">
        <v>160</v>
      </c>
      <c r="AA12" s="181">
        <v>142</v>
      </c>
      <c r="AB12" s="181">
        <v>40</v>
      </c>
      <c r="AC12" s="183">
        <v>0</v>
      </c>
      <c r="AD12" s="183">
        <v>0</v>
      </c>
      <c r="AE12" s="183">
        <v>0</v>
      </c>
      <c r="AF12" s="189">
        <v>0</v>
      </c>
      <c r="AG12" s="202">
        <v>40</v>
      </c>
      <c r="AH12" s="183">
        <v>148</v>
      </c>
      <c r="AI12" s="183">
        <v>165</v>
      </c>
      <c r="AJ12" s="203">
        <v>22</v>
      </c>
      <c r="AK12" s="182">
        <v>0</v>
      </c>
      <c r="AL12" s="183">
        <v>0</v>
      </c>
      <c r="AM12" s="183">
        <v>0</v>
      </c>
      <c r="AN12" s="189">
        <v>0</v>
      </c>
      <c r="AO12" s="259">
        <v>3</v>
      </c>
      <c r="AP12" s="155">
        <v>3</v>
      </c>
      <c r="AQ12" s="155">
        <v>3</v>
      </c>
      <c r="AR12" s="154">
        <v>3</v>
      </c>
      <c r="AS12" s="340" t="s">
        <v>802</v>
      </c>
      <c r="AT12" s="203"/>
      <c r="AU12" s="202"/>
      <c r="AV12" s="203"/>
      <c r="AW12" s="202"/>
      <c r="AX12" s="203"/>
      <c r="AY12" s="126">
        <f t="shared" si="1"/>
        <v>2518</v>
      </c>
      <c r="AZ12" s="127">
        <f t="shared" si="1"/>
        <v>3469</v>
      </c>
      <c r="BA12" s="127">
        <f t="shared" si="1"/>
        <v>3228</v>
      </c>
      <c r="BB12" s="127">
        <f t="shared" si="1"/>
        <v>2746</v>
      </c>
      <c r="BC12" s="125">
        <f>IF(ISNUMBER(X12),X12," - ")</f>
        <v>1428</v>
      </c>
      <c r="BD12" s="126">
        <f t="shared" si="2"/>
        <v>0.93052752954742002</v>
      </c>
      <c r="BE12" s="127">
        <f t="shared" si="3"/>
        <v>0.85068153655514245</v>
      </c>
      <c r="BF12" s="127">
        <f t="shared" si="4"/>
        <v>0.44237918215613381</v>
      </c>
      <c r="BG12" s="196">
        <f t="shared" si="5"/>
        <v>1.8547087980173482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2727</v>
      </c>
      <c r="J13" s="184">
        <f t="shared" si="6"/>
        <v>4637</v>
      </c>
      <c r="K13" s="184">
        <f t="shared" si="6"/>
        <v>4043</v>
      </c>
      <c r="L13" s="184">
        <f t="shared" si="6"/>
        <v>3321</v>
      </c>
      <c r="M13" s="184">
        <f t="shared" si="6"/>
        <v>1175</v>
      </c>
      <c r="N13" s="184">
        <f t="shared" si="6"/>
        <v>1841</v>
      </c>
      <c r="O13" s="184">
        <f t="shared" si="6"/>
        <v>1372</v>
      </c>
      <c r="P13" s="184">
        <f t="shared" si="6"/>
        <v>846</v>
      </c>
      <c r="Q13" s="184">
        <f t="shared" si="6"/>
        <v>565</v>
      </c>
      <c r="R13" s="184">
        <f t="shared" si="6"/>
        <v>3820</v>
      </c>
      <c r="S13" s="184">
        <f t="shared" si="6"/>
        <v>2491</v>
      </c>
      <c r="T13" s="184">
        <f t="shared" si="6"/>
        <v>3323</v>
      </c>
      <c r="U13" s="184">
        <f t="shared" si="6"/>
        <v>3075</v>
      </c>
      <c r="V13" s="184">
        <f t="shared" si="6"/>
        <v>2727</v>
      </c>
      <c r="W13" s="184">
        <f t="shared" si="6"/>
        <v>791</v>
      </c>
      <c r="X13" s="184">
        <f t="shared" si="6"/>
        <v>1430</v>
      </c>
      <c r="Y13" s="184">
        <f t="shared" si="6"/>
        <v>22</v>
      </c>
      <c r="Z13" s="184">
        <f t="shared" si="6"/>
        <v>160</v>
      </c>
      <c r="AA13" s="184">
        <f t="shared" si="6"/>
        <v>142</v>
      </c>
      <c r="AB13" s="184">
        <f t="shared" si="6"/>
        <v>40</v>
      </c>
      <c r="AC13" s="184">
        <f t="shared" si="6"/>
        <v>0</v>
      </c>
      <c r="AD13" s="184">
        <f t="shared" si="6"/>
        <v>0</v>
      </c>
      <c r="AE13" s="184">
        <f t="shared" si="6"/>
        <v>0</v>
      </c>
      <c r="AF13" s="184">
        <f>SUBTOTAL(9,AF9:AF12)</f>
        <v>0</v>
      </c>
      <c r="AG13" s="184">
        <f t="shared" ref="AG13:AT13" si="7">SUBTOTAL(9,AG8:AG12)</f>
        <v>40</v>
      </c>
      <c r="AH13" s="184">
        <f t="shared" si="7"/>
        <v>148</v>
      </c>
      <c r="AI13" s="184">
        <f t="shared" si="7"/>
        <v>165</v>
      </c>
      <c r="AJ13" s="184">
        <f t="shared" si="7"/>
        <v>22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2531</v>
      </c>
      <c r="AZ13" s="184">
        <f>SUBTOTAL(9,AZ8:AZ12)</f>
        <v>3471</v>
      </c>
      <c r="BA13" s="184">
        <f>SUBTOTAL(9,BA8:BA12)</f>
        <v>3240</v>
      </c>
      <c r="BB13" s="184">
        <f>SUBTOTAL(9,BB8:BB12)</f>
        <v>2749</v>
      </c>
      <c r="BC13" s="184">
        <f>SUBTOTAL(9,BC8:BC12)</f>
        <v>1438</v>
      </c>
      <c r="BD13" s="205">
        <f>IF(ISNUMBER(BA13/AZ13),BA13/AZ13," - ")</f>
        <v>0.93344857389801206</v>
      </c>
      <c r="BE13" s="206">
        <f>IF(ISNUMBER(BB13/BA13),BB13/BA13, " - ")</f>
        <v>0.84845679012345676</v>
      </c>
      <c r="BF13" s="206">
        <f>IF(ISNUMBER(BC13/BA13),BC13/BA13, " - ")</f>
        <v>0.44382716049382714</v>
      </c>
      <c r="BG13" s="207">
        <f>IF(ISNUMBER((AY13+AZ13)/BA13),(AY13+AZ13)/BA13," - ")</f>
        <v>1.8524691358024692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679</v>
      </c>
      <c r="J16" s="183">
        <v>3114</v>
      </c>
      <c r="K16" s="183">
        <v>3189</v>
      </c>
      <c r="L16" s="183">
        <v>628</v>
      </c>
      <c r="M16" s="183">
        <v>445</v>
      </c>
      <c r="N16" s="183">
        <v>2266</v>
      </c>
      <c r="O16" s="181">
        <v>53</v>
      </c>
      <c r="P16" s="183">
        <v>110</v>
      </c>
      <c r="Q16" s="183">
        <v>76</v>
      </c>
      <c r="R16" s="183">
        <v>169</v>
      </c>
      <c r="S16" s="183">
        <v>722</v>
      </c>
      <c r="T16" s="183">
        <v>3028</v>
      </c>
      <c r="U16" s="183">
        <v>3059</v>
      </c>
      <c r="V16" s="183">
        <v>679</v>
      </c>
      <c r="W16" s="183">
        <v>391</v>
      </c>
      <c r="X16" s="189">
        <v>2171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722</v>
      </c>
      <c r="AZ16" s="127">
        <f t="shared" si="9"/>
        <v>3028</v>
      </c>
      <c r="BA16" s="127">
        <f t="shared" si="9"/>
        <v>3059</v>
      </c>
      <c r="BB16" s="127">
        <f t="shared" si="9"/>
        <v>679</v>
      </c>
      <c r="BC16" s="125">
        <f>IF(ISNUMBER(W16),W16," - ")</f>
        <v>391</v>
      </c>
      <c r="BD16" s="126">
        <f t="shared" ref="BD16" si="11">IF(ISNUMBER(BA16/AZ16),BA16/AZ16," - ")</f>
        <v>1.0102377807133422</v>
      </c>
      <c r="BE16" s="127">
        <f t="shared" ref="BE16" si="12">IF(ISNUMBER(BB16/BA16),BB16/BA16, " - ")</f>
        <v>0.2219679633867277</v>
      </c>
      <c r="BF16" s="127">
        <f t="shared" ref="BF16" si="13">IF(ISNUMBER(BC16/BA16),BC16/BA16, " - ")</f>
        <v>0.12781954887218044</v>
      </c>
      <c r="BG16" s="196">
        <f t="shared" si="10"/>
        <v>1.2258908139915006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2</v>
      </c>
      <c r="K17" s="183">
        <v>17</v>
      </c>
      <c r="L17" s="183">
        <v>3</v>
      </c>
      <c r="M17" s="183">
        <v>0</v>
      </c>
      <c r="N17" s="183">
        <v>3</v>
      </c>
      <c r="O17" s="183">
        <v>1</v>
      </c>
      <c r="P17" s="183">
        <v>0</v>
      </c>
      <c r="Q17" s="183">
        <v>1</v>
      </c>
      <c r="R17" s="183">
        <v>0</v>
      </c>
      <c r="S17" s="183">
        <v>44</v>
      </c>
      <c r="T17" s="183">
        <v>11</v>
      </c>
      <c r="U17" s="183">
        <v>39</v>
      </c>
      <c r="V17" s="183">
        <v>17</v>
      </c>
      <c r="W17" s="183">
        <v>3</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11</v>
      </c>
      <c r="BA17" s="129">
        <f t="shared" si="14"/>
        <v>39</v>
      </c>
      <c r="BB17" s="129">
        <f t="shared" si="14"/>
        <v>17</v>
      </c>
      <c r="BC17" s="125">
        <f>IF(ISNUMBER(W17),W17," - ")</f>
        <v>3</v>
      </c>
      <c r="BD17" s="126">
        <f>IF(ISNUMBER(BA17/AZ17),BA17/AZ17," - ")</f>
        <v>3.5454545454545454</v>
      </c>
      <c r="BE17" s="127">
        <f>IF(ISNUMBER(BB17/BA17),BB17/BA17, " - ")</f>
        <v>0.4358974358974359</v>
      </c>
      <c r="BF17" s="127">
        <f>IF(ISNUMBER(BC17/BA17),BC17/BA17, " - ")</f>
        <v>7.6923076923076927E-2</v>
      </c>
      <c r="BG17" s="196">
        <f>IF(ISNUMBER((AY17+AZ17)/BA17),(AY17+AZ17)/BA17," - ")</f>
        <v>1.4102564102564104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696</v>
      </c>
      <c r="J18" s="184">
        <f t="shared" si="15"/>
        <v>3116</v>
      </c>
      <c r="K18" s="184">
        <f t="shared" si="15"/>
        <v>3206</v>
      </c>
      <c r="L18" s="184">
        <f t="shared" si="15"/>
        <v>631</v>
      </c>
      <c r="M18" s="184">
        <f t="shared" si="15"/>
        <v>445</v>
      </c>
      <c r="N18" s="184">
        <f t="shared" si="15"/>
        <v>2269</v>
      </c>
      <c r="O18" s="184">
        <f t="shared" si="15"/>
        <v>54</v>
      </c>
      <c r="P18" s="184">
        <f t="shared" si="15"/>
        <v>110</v>
      </c>
      <c r="Q18" s="184">
        <f t="shared" si="15"/>
        <v>77</v>
      </c>
      <c r="R18" s="184">
        <f t="shared" si="15"/>
        <v>169</v>
      </c>
      <c r="S18" s="184">
        <f t="shared" si="15"/>
        <v>766</v>
      </c>
      <c r="T18" s="184">
        <f t="shared" si="15"/>
        <v>3039</v>
      </c>
      <c r="U18" s="184">
        <f t="shared" si="15"/>
        <v>3098</v>
      </c>
      <c r="V18" s="184">
        <f t="shared" si="15"/>
        <v>696</v>
      </c>
      <c r="W18" s="184">
        <f t="shared" si="15"/>
        <v>394</v>
      </c>
      <c r="X18" s="184">
        <f t="shared" si="15"/>
        <v>2190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766</v>
      </c>
      <c r="AZ18" s="184">
        <f>SUBTOTAL(9,AZ14:AZ17)</f>
        <v>3039</v>
      </c>
      <c r="BA18" s="184">
        <f>SUBTOTAL(9,BA14:BA17)</f>
        <v>3098</v>
      </c>
      <c r="BB18" s="184">
        <f>SUBTOTAL(9,BB14:BB17)</f>
        <v>696</v>
      </c>
      <c r="BC18" s="184">
        <f>SUBTOTAL(9,BC14:BC17)</f>
        <v>394</v>
      </c>
      <c r="BD18" s="205">
        <f>IF(ISNUMBER(BA18/AZ18),BA18/AZ18," - ")</f>
        <v>1.0194142810134912</v>
      </c>
      <c r="BE18" s="206">
        <f>IF(ISNUMBER(BB18/BA18),BB18/BA18, " - ")</f>
        <v>0.22466107165913493</v>
      </c>
      <c r="BF18" s="206">
        <f>IF(ISNUMBER(BC18/BA18),BC18/BA18, " - ")</f>
        <v>0.12717882504841835</v>
      </c>
      <c r="BG18" s="207">
        <f>IF(ISNUMBER((AY18+AZ18)/BA18),(AY18+AZ18)/BA18," - ")</f>
        <v>1.2282117495158167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3423</v>
      </c>
      <c r="J19" s="134">
        <f t="shared" si="18"/>
        <v>7753</v>
      </c>
      <c r="K19" s="134">
        <f t="shared" si="18"/>
        <v>7249</v>
      </c>
      <c r="L19" s="134">
        <f t="shared" si="18"/>
        <v>3952</v>
      </c>
      <c r="M19" s="134">
        <f t="shared" si="18"/>
        <v>1620</v>
      </c>
      <c r="N19" s="134">
        <f t="shared" si="18"/>
        <v>4110</v>
      </c>
      <c r="O19" s="134">
        <f t="shared" si="18"/>
        <v>1426</v>
      </c>
      <c r="P19" s="134">
        <f t="shared" si="18"/>
        <v>956</v>
      </c>
      <c r="Q19" s="134">
        <f t="shared" si="18"/>
        <v>642</v>
      </c>
      <c r="R19" s="134">
        <f t="shared" si="18"/>
        <v>3989</v>
      </c>
      <c r="S19" s="134">
        <f t="shared" si="18"/>
        <v>3257</v>
      </c>
      <c r="T19" s="134">
        <f t="shared" si="18"/>
        <v>6362</v>
      </c>
      <c r="U19" s="134">
        <f t="shared" si="18"/>
        <v>6173</v>
      </c>
      <c r="V19" s="134">
        <f t="shared" si="18"/>
        <v>3423</v>
      </c>
      <c r="W19" s="134">
        <f t="shared" si="18"/>
        <v>1185</v>
      </c>
      <c r="X19" s="134">
        <f t="shared" si="18"/>
        <v>3620</v>
      </c>
      <c r="Y19" s="134">
        <f t="shared" si="18"/>
        <v>22</v>
      </c>
      <c r="Z19" s="134">
        <f t="shared" si="18"/>
        <v>160</v>
      </c>
      <c r="AA19" s="134">
        <f t="shared" si="18"/>
        <v>142</v>
      </c>
      <c r="AB19" s="134">
        <f t="shared" si="18"/>
        <v>40</v>
      </c>
      <c r="AC19" s="134">
        <f t="shared" si="18"/>
        <v>0</v>
      </c>
      <c r="AD19" s="134">
        <f t="shared" si="18"/>
        <v>0</v>
      </c>
      <c r="AE19" s="134">
        <f t="shared" si="18"/>
        <v>0</v>
      </c>
      <c r="AF19" s="134">
        <f t="shared" si="18"/>
        <v>0</v>
      </c>
      <c r="AG19" s="134">
        <f t="shared" si="18"/>
        <v>40</v>
      </c>
      <c r="AH19" s="134">
        <f t="shared" si="18"/>
        <v>148</v>
      </c>
      <c r="AI19" s="134">
        <f t="shared" si="18"/>
        <v>165</v>
      </c>
      <c r="AJ19" s="134">
        <f t="shared" si="18"/>
        <v>22</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3297</v>
      </c>
      <c r="AZ19" s="134">
        <f>SUBTOTAL(9,AZ9:AZ18)</f>
        <v>6510</v>
      </c>
      <c r="BA19" s="134">
        <f>SUBTOTAL(9,BA9:BA18)</f>
        <v>6338</v>
      </c>
      <c r="BB19" s="134">
        <f>SUBTOTAL(9,BB9:BB18)</f>
        <v>3445</v>
      </c>
      <c r="BC19" s="135">
        <f>SUBTOTAL(9,BC9:BC18)</f>
        <v>1832</v>
      </c>
      <c r="BD19" s="213">
        <f>IF(ISNUMBER(BA19/AZ19),BA19/AZ19," - ")</f>
        <v>0.97357910906298006</v>
      </c>
      <c r="BE19" s="210">
        <f>IF(ISNUMBER(BB19/BA19),BB19/BA19, " - ")</f>
        <v>0.54354686020826759</v>
      </c>
      <c r="BF19" s="210">
        <f>IF(ISNUMBER(BC19/BA19),BC19/BA19, " - ")</f>
        <v>0.28905017355632689</v>
      </c>
      <c r="BG19" s="135">
        <f>IF(ISNUMBER((AY19+AZ19)/BA19),(AY19+AZ19)/BA19," - ")</f>
        <v>1.5473335437046387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LsJQkvhpxqRg7nujzSKOd+4UbH8wK7fQZ1FK3QzJiNkILjyyZWLeR+714LMPIfgyi/Et1fAuNWf+eK/IvZ0w==" saltValue="D/JWjC2vt9EK1J3PfUUa1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qF50ChOUv7QoY3W5BAG9iKQ9Kce3F++cFrPRZCR1pYcrf158TQtRYggtKxSUdfReV975G8VdeHlJykHvIMVPw==" saltValue="5LCGajfreWJMcnU6Etn53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160</v>
      </c>
      <c r="O12" s="334"/>
      <c r="P12" s="334"/>
      <c r="Q12" s="226">
        <f>IF(ISNUMBER(Datos!P12),Datos!P12,0)</f>
        <v>846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3820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1172</v>
      </c>
      <c r="BD12" s="229">
        <f>IF(ISNUMBER(Datos!N12),Datos!N12," - ")</f>
        <v>1841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0.87179487179487181</v>
      </c>
      <c r="BH12" s="260">
        <f>IF(ISNUMBER(((IF(J_V="SI",Datos!L12/Datos!K12,(Datos!L12+Datos!AB12)/(Datos!K12+Datos!AA12)))*11)/factor_trimestre),((IF(J_V="SI",Datos!L12/Datos!K12,(Datos!L12+Datos!AB12)/(Datos!K12+Datos!AA12)))*11)/factor_trimestre," - ")</f>
        <v>8.8405069344811089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7.9706048615036745E-2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160</v>
      </c>
      <c r="O13" s="900">
        <f t="shared" si="0"/>
        <v>0</v>
      </c>
      <c r="P13" s="900">
        <f t="shared" si="0"/>
        <v>0</v>
      </c>
      <c r="Q13" s="899">
        <f t="shared" si="0"/>
        <v>846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565</v>
      </c>
      <c r="AD13" s="899">
        <f t="shared" si="1"/>
        <v>0</v>
      </c>
      <c r="AE13" s="899">
        <f t="shared" si="1"/>
        <v>0</v>
      </c>
      <c r="AF13" s="899">
        <f t="shared" si="1"/>
        <v>0</v>
      </c>
      <c r="AG13" s="899">
        <f t="shared" si="1"/>
        <v>0</v>
      </c>
      <c r="AH13" s="899">
        <f t="shared" si="1"/>
        <v>40</v>
      </c>
      <c r="AI13" s="899">
        <f t="shared" si="1"/>
        <v>0</v>
      </c>
      <c r="AJ13" s="899">
        <f t="shared" si="1"/>
        <v>0</v>
      </c>
      <c r="AK13" s="899">
        <f t="shared" si="1"/>
        <v>0</v>
      </c>
      <c r="AL13" s="899">
        <f t="shared" si="1"/>
        <v>0</v>
      </c>
      <c r="AM13" s="899">
        <f t="shared" si="1"/>
        <v>3820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1175</v>
      </c>
      <c r="BD13" s="899">
        <f t="shared" si="1"/>
        <v>1841</v>
      </c>
      <c r="BE13" s="899">
        <f t="shared" si="1"/>
        <v>0</v>
      </c>
      <c r="BF13" s="899">
        <f t="shared" si="1"/>
        <v>0</v>
      </c>
      <c r="BG13" s="899">
        <f>IF(ISNUMBER(Datos!K13/Datos!J13),Datos!K13/Datos!J13," - ")</f>
        <v>0.87189993530299759</v>
      </c>
      <c r="BH13" s="903">
        <f>IF(ISNUMBER(((Datos!L13/Datos!K13)*11)/factor_trimestre),((Datos!L13/Datos!K13)*11)/factor_trimestre," - ")</f>
        <v>9.0356171160029692</v>
      </c>
      <c r="BI13" s="899">
        <f>IF(ISNUMBER('Resol  Asuntos'!D13/NºAsuntos!G13),'Resol  Asuntos'!D13/NºAsuntos!G13," - ")</f>
        <v>0.2807646356033453</v>
      </c>
      <c r="BJ13" s="899" t="str">
        <f>IF(ISNUMBER(Datos!CI13/Datos!CJ13),Datos!CI13/Datos!CJ13," - ")</f>
        <v xml:space="preserve"> - </v>
      </c>
      <c r="BK13" s="899">
        <f>SUBTOTAL(9,BK8:BK12)</f>
        <v>0</v>
      </c>
      <c r="BL13" s="899">
        <f>IF(ISNUMBER((I13-AB13+L13)/(F13)),(I13-AB13+L13)/(F13)," - ")</f>
        <v>-1</v>
      </c>
      <c r="BM13" s="904">
        <f>SUBTOTAL(9,BM9:BM12)</f>
        <v>-0.92029395138496328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703</v>
      </c>
      <c r="G16" s="598">
        <f>IF(ISNUMBER(IF(D_I="SI",Datos!I16,Datos!I16+Datos!AC16)),IF(D_I="SI",Datos!I16,Datos!I16+Datos!AC16)," - ")</f>
        <v>679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3189</v>
      </c>
      <c r="AC16" s="226">
        <f>IF(ISNUMBER(Datos!Q16),Datos!Q16," - ")</f>
        <v>76</v>
      </c>
      <c r="AD16" s="334"/>
      <c r="AE16" s="484"/>
      <c r="AF16" s="596">
        <f>IF(ISNUMBER(IF(D_I="SI",Datos!L16,Datos!L16+Datos!AF16)),IF(D_I="SI",Datos!L16,Datos!L16+Datos!AF16)," - ")</f>
        <v>628</v>
      </c>
      <c r="AG16" s="334"/>
      <c r="AH16" s="334"/>
      <c r="AI16" s="334"/>
      <c r="AJ16" s="334"/>
      <c r="AK16" s="334"/>
      <c r="AL16" s="479"/>
      <c r="AM16" s="335">
        <f>IF(ISNUMBER(Datos!R16),Datos!R16," - ")</f>
        <v>169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445</v>
      </c>
      <c r="BD16" s="229">
        <f>IF(ISNUMBER(Datos!N16),Datos!N16," - ")</f>
        <v>2266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1.0240847784200386</v>
      </c>
      <c r="BH16" s="260">
        <f>IF(ISNUMBER(((IF(D_I="SI",Datos!L16/Datos!K16,(Datos!L16+Datos!AF16)/(Datos!K16+Datos!AE16)))*11)/factor_trimestre),((IF(D_I="SI",Datos!L16/Datos!K16,(Datos!L16+Datos!AF16)/(Datos!K16+Datos!AE16)))*11)/factor_trimestre," - ")</f>
        <v>2.1661962997804958</v>
      </c>
      <c r="BI16" s="243">
        <f>IF(ISNUMBER('Resol  Asuntos'!D16/NºAsuntos!G16),'Resol  Asuntos'!D16/NºAsuntos!G16," - ")</f>
        <v>0.13954217623079335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1</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8.5</v>
      </c>
      <c r="BH17" s="260">
        <f>IF(ISNUMBER(((IF(D_I="SI",Datos!L17/Datos!K17,(Datos!L17+Datos!AF17)/(Datos!K17+Datos!AE17)))*11)/factor_trimestre),((IF(D_I="SI",Datos!L17/Datos!K17,(Datos!L17+Datos!AF17)/(Datos!K17+Datos!AE17)))*11)/factor_trimestre," - ")</f>
        <v>1.9411764705882355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703</v>
      </c>
      <c r="G18" s="898">
        <f>SUBTOTAL(9,G15:G17)</f>
        <v>696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3206</v>
      </c>
      <c r="AC18" s="899">
        <f t="shared" si="4"/>
        <v>77</v>
      </c>
      <c r="AD18" s="899">
        <f t="shared" si="4"/>
        <v>0</v>
      </c>
      <c r="AE18" s="899">
        <f t="shared" si="4"/>
        <v>0</v>
      </c>
      <c r="AF18" s="899">
        <f t="shared" si="4"/>
        <v>631</v>
      </c>
      <c r="AG18" s="899">
        <f t="shared" si="4"/>
        <v>0</v>
      </c>
      <c r="AH18" s="899">
        <f t="shared" si="4"/>
        <v>0</v>
      </c>
      <c r="AI18" s="899">
        <f t="shared" si="4"/>
        <v>0</v>
      </c>
      <c r="AJ18" s="899">
        <f t="shared" si="4"/>
        <v>0</v>
      </c>
      <c r="AK18" s="899">
        <f t="shared" si="4"/>
        <v>0</v>
      </c>
      <c r="AL18" s="899">
        <f t="shared" si="4"/>
        <v>0</v>
      </c>
      <c r="AM18" s="899">
        <f t="shared" si="4"/>
        <v>169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445</v>
      </c>
      <c r="BD18" s="899">
        <f t="shared" si="4"/>
        <v>2269</v>
      </c>
      <c r="BE18" s="899">
        <f t="shared" si="4"/>
        <v>0</v>
      </c>
      <c r="BF18" s="899">
        <f t="shared" si="4"/>
        <v>0</v>
      </c>
      <c r="BG18" s="899">
        <f>IF(ISNUMBER(Datos!K18/Datos!J18),Datos!K18/Datos!J18," - ")</f>
        <v>1.0288831835686778</v>
      </c>
      <c r="BH18" s="903">
        <f>IF(ISNUMBER(((Datos!L18/Datos!K18)*11)/factor_trimestre),((Datos!L18/Datos!K18)*11)/factor_trimestre," - ")</f>
        <v>2.1650031191515908</v>
      </c>
      <c r="BI18" s="899">
        <f>SUBTOTAL(9,BI15:BI17)</f>
        <v>0.13954217623079335</v>
      </c>
      <c r="BJ18" s="899">
        <f>SUBTOTAL(9,BJ15:BJ17)</f>
        <v>0</v>
      </c>
      <c r="BK18" s="899">
        <f>SUBTOTAL(9,BK15:BK17)</f>
        <v>0</v>
      </c>
      <c r="BL18" s="899">
        <f>IF(ISNUMBER((I18-AB18+L18)/(F18)),(I18-AB18+L18)/(F18)," - ")</f>
        <v>-4.560455192034139</v>
      </c>
      <c r="BM18" s="905">
        <f>IF(ISNUMBER((Datos!P18-Datos!Q18)/(Datos!R18-Datos!P18+Datos!Q18)),(Datos!P18-Datos!Q18)/(Datos!R18-Datos!P18+Datos!Q18)," - ")</f>
        <v>0.24264705882352941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706</v>
      </c>
      <c r="G19" s="820">
        <f t="shared" si="6"/>
        <v>699</v>
      </c>
      <c r="H19" s="822">
        <f t="shared" si="6"/>
        <v>0</v>
      </c>
      <c r="I19" s="820">
        <f t="shared" si="6"/>
        <v>0</v>
      </c>
      <c r="J19" s="822">
        <f t="shared" si="6"/>
        <v>0</v>
      </c>
      <c r="K19" s="822">
        <f t="shared" si="6"/>
        <v>0</v>
      </c>
      <c r="L19" s="881">
        <f t="shared" si="6"/>
        <v>0</v>
      </c>
      <c r="M19" s="881">
        <f t="shared" si="6"/>
        <v>0</v>
      </c>
      <c r="N19" s="881">
        <f t="shared" si="6"/>
        <v>160</v>
      </c>
      <c r="O19" s="881">
        <f t="shared" si="6"/>
        <v>0</v>
      </c>
      <c r="P19" s="881">
        <f t="shared" si="6"/>
        <v>0</v>
      </c>
      <c r="Q19" s="822">
        <f t="shared" si="6"/>
        <v>956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3209</v>
      </c>
      <c r="AC19" s="821">
        <f t="shared" si="7"/>
        <v>642</v>
      </c>
      <c r="AD19" s="821">
        <f t="shared" si="7"/>
        <v>0</v>
      </c>
      <c r="AE19" s="821">
        <f t="shared" si="7"/>
        <v>0</v>
      </c>
      <c r="AF19" s="828">
        <f t="shared" si="7"/>
        <v>631</v>
      </c>
      <c r="AG19" s="828">
        <f t="shared" si="7"/>
        <v>0</v>
      </c>
      <c r="AH19" s="828">
        <f t="shared" si="7"/>
        <v>40</v>
      </c>
      <c r="AI19" s="828">
        <f t="shared" si="7"/>
        <v>0</v>
      </c>
      <c r="AJ19" s="821">
        <f t="shared" si="7"/>
        <v>0</v>
      </c>
      <c r="AK19" s="828">
        <f t="shared" si="7"/>
        <v>0</v>
      </c>
      <c r="AL19" s="828">
        <f t="shared" si="7"/>
        <v>0</v>
      </c>
      <c r="AM19" s="828">
        <f t="shared" si="7"/>
        <v>3989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1620</v>
      </c>
      <c r="BD19" s="820">
        <f t="shared" si="7"/>
        <v>4110</v>
      </c>
      <c r="BE19" s="820">
        <f t="shared" si="7"/>
        <v>0</v>
      </c>
      <c r="BF19" s="830">
        <f t="shared" si="7"/>
        <v>0</v>
      </c>
      <c r="BG19" s="915">
        <f>IF(ISNUMBER(Datos!K19/Datos!J19),Datos!K19/Datos!J19," - ")</f>
        <v>0.93499290597188189</v>
      </c>
      <c r="BH19" s="915">
        <f>IF(ISNUMBER(((Datos!L19/Datos!K19)*11)/factor_trimestre),((Datos!L19/Datos!K19)*11)/factor_trimestre," - ")</f>
        <v>5.9969650986342948</v>
      </c>
      <c r="BI19" s="813">
        <f>IF(ISNUMBER(Datos!J19/Datos!I19),Datos!J19/Datos!I19," - ")</f>
        <v>2.2649722465673388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-4.5453257790368271</v>
      </c>
      <c r="BM19" s="889">
        <f>IF(ISNUMBER((Datos!P19-Datos!Q19+R19)/(Datos!R19-Datos!P19+Datos!Q19-R19)),(Datos!P19-Datos!Q19+R19)/(Datos!R19-Datos!P19+Datos!Q19-R19)," - ")</f>
        <v>8.5442176870748301E-2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279.60000000000002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404.14518843273805</v>
      </c>
      <c r="G21" s="552">
        <f>IF(ISNUMBER(STDEV(G8:G18)),STDEV(G8:G18),"-")</f>
        <v>372.45241306776359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1747.1633581322612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529.27648729185012</v>
      </c>
      <c r="BD21" s="551"/>
      <c r="BE21" s="551">
        <f>IF(ISNUMBER(STDEV(BE8:BE18)),STDEV(BE8:BE18),"-")</f>
        <v>0</v>
      </c>
      <c r="BF21" s="556">
        <f>IF(ISNUMBER(STDEV(BF8:BF18)),STDEV(BF8:BF18),"-")</f>
        <v>0</v>
      </c>
      <c r="BG21" s="775">
        <f>IF(ISNUMBER(STDEV(BG8:BG18)),STDEV(BG8:BG18),"-")</f>
        <v>3.3777212356544175</v>
      </c>
      <c r="BH21" s="776">
        <f>IF(ISNUMBER(STDEV(BH8:BH18)),STDEV(BH8:BH18),"-")</f>
        <v>3.8923791089418094</v>
      </c>
      <c r="BI21" s="249">
        <f>IF(ISNUMBER(STDEV(BI8:BI18)),STDEV(BI8:BI18),"-")</f>
        <v>0.1146227088329341</v>
      </c>
      <c r="BJ21" s="230" t="str">
        <f>IF(ISNUMBER(BL21/BM21),BL21/BM21," - ")</f>
        <v xml:space="preserve"> - </v>
      </c>
      <c r="BK21" s="575"/>
      <c r="BL21" s="559">
        <f>IF(ISNUMBER(STDEV(BL8:BL18)),STDEV(BL8:BL18),"-")</f>
        <v>2.517622010398191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2kEoV/bh6Bb6k+zLpeiloHOz94f1P9BRthvxUqf23Rpw+0QkuuvIw0IdPWoR1m+eJrcJUjcR/N1bPNktB5GDg==" saltValue="vcPnmcz4tYncIbK/KI9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GÜIMAR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564</v>
      </c>
      <c r="AA12" s="332" t="str">
        <f>IF(ISNUMBER(IF(J_V="SI",Datos!L12,Datos!L12+Datos!AB12)-IF(Monitorios="SI",Datos!CD12,0)),
                          IF(J_V="SI",Datos!L12,Datos!L12+Datos!AB12)-IF(Monitorios="SI",Datos!CD12,0),
                          " - ")</f>
        <v xml:space="preserve"> - </v>
      </c>
      <c r="AB12" s="334"/>
      <c r="AC12" s="334"/>
      <c r="AD12" s="484"/>
      <c r="AE12" s="484">
        <f>IF(ISNUMBER(Datos!R12),Datos!R12," - ")</f>
        <v>3820</v>
      </c>
      <c r="AF12" s="229" t="str">
        <f>IF(ISNUMBER(Datos!BV12),Datos!BV12," - ")</f>
        <v xml:space="preserve"> - </v>
      </c>
      <c r="AG12" s="225" t="str">
        <f>IF(ISNUMBER(Datos!DV12),Datos!DV12," - ")</f>
        <v xml:space="preserve"> - </v>
      </c>
      <c r="AH12" s="298"/>
      <c r="AI12" s="227"/>
      <c r="AJ12" s="225">
        <f>IF(ISNUMBER(Datos!M12),Datos!M12," - ")</f>
        <v>1172</v>
      </c>
      <c r="AK12" s="229">
        <f>IF(ISNUMBER(Datos!N12),Datos!N12," - ")</f>
        <v>1841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8.8405069344811089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7.9706048615036745E-2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846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565</v>
      </c>
      <c r="AA13" s="900">
        <f t="shared" si="2"/>
        <v>0</v>
      </c>
      <c r="AB13" s="900">
        <f t="shared" si="2"/>
        <v>0</v>
      </c>
      <c r="AC13" s="900">
        <f t="shared" si="2"/>
        <v>0</v>
      </c>
      <c r="AD13" s="900">
        <f t="shared" si="2"/>
        <v>0</v>
      </c>
      <c r="AE13" s="900">
        <f t="shared" si="2"/>
        <v>3820</v>
      </c>
      <c r="AF13" s="908">
        <f t="shared" si="2"/>
        <v>0</v>
      </c>
      <c r="AG13" s="908">
        <f t="shared" si="2"/>
        <v>0</v>
      </c>
      <c r="AH13" s="908">
        <f t="shared" si="2"/>
        <v>0</v>
      </c>
      <c r="AI13" s="908">
        <f t="shared" si="2"/>
        <v>0</v>
      </c>
      <c r="AJ13" s="908">
        <f t="shared" si="2"/>
        <v>1175</v>
      </c>
      <c r="AK13" s="908">
        <f t="shared" si="2"/>
        <v>1841</v>
      </c>
      <c r="AL13" s="908">
        <f t="shared" si="2"/>
        <v>0</v>
      </c>
      <c r="AM13" s="908">
        <f t="shared" si="2"/>
        <v>0</v>
      </c>
      <c r="AN13" s="908">
        <f t="shared" si="2"/>
        <v>0</v>
      </c>
      <c r="AO13" s="904">
        <f>IF(ISNUMBER(((NºAsuntos!I13/NºAsuntos!G13)*11)/factor_trimestre),((NºAsuntos!I13/NºAsuntos!G13)*11)/factor_trimestre," - ")</f>
        <v>8.8341696535244925</v>
      </c>
      <c r="AP13" s="910" t="str">
        <f>IF(ISNUMBER(Datos!CI13/Datos!CJ13),Datos!CI13/Datos!CJ13," - ")</f>
        <v xml:space="preserve"> - </v>
      </c>
      <c r="AQ13" s="928">
        <f t="shared" ref="AQ13:AV13" si="3">SUBTOTAL(9,AQ9:AQ12)</f>
        <v>0</v>
      </c>
      <c r="AR13" s="928">
        <f t="shared" si="3"/>
        <v>-0.92029395138496328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703</v>
      </c>
      <c r="G16" s="225">
        <f>IF(ISNUMBER(IF(D_I="SI",Datos!I16,Datos!I16+Datos!AC16)),IF(D_I="SI",Datos!I16,Datos!I16+Datos!AC16)," - ")</f>
        <v>679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3189</v>
      </c>
      <c r="Z16" s="619">
        <f>IF(ISNUMBER(Datos!Q16),Datos!Q16," - ")</f>
        <v>76</v>
      </c>
      <c r="AA16" s="332">
        <f>IF(ISNUMBER(IF(D_I="SI",Datos!L16,Datos!L16+Datos!AF16)),IF(D_I="SI",Datos!L16,Datos!L16+Datos!AF16)," - ")</f>
        <v>628</v>
      </c>
      <c r="AB16" s="334"/>
      <c r="AC16" s="334"/>
      <c r="AD16" s="484"/>
      <c r="AE16" s="484">
        <f>IF(ISNUMBER(Datos!R16),Datos!R16," - ")</f>
        <v>169</v>
      </c>
      <c r="AF16" s="229" t="str">
        <f>IF(ISNUMBER(Datos!BV16),Datos!BV16," - ")</f>
        <v xml:space="preserve"> - </v>
      </c>
      <c r="AG16" s="225"/>
      <c r="AH16" s="298"/>
      <c r="AI16" s="227"/>
      <c r="AJ16" s="225">
        <f>IF(ISNUMBER(Datos!M16),Datos!M16," - ")</f>
        <v>445</v>
      </c>
      <c r="AK16" s="229">
        <f>IF(ISNUMBER(Datos!N16),Datos!N16," - ")</f>
        <v>2266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2.1661962997804958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1</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1.9411764705882355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703</v>
      </c>
      <c r="G18" s="898">
        <f>SUBTOTAL(9,G15:G17)</f>
        <v>696</v>
      </c>
      <c r="H18" s="932">
        <f>SUBTOTAL(9,H15:H17)</f>
        <v>0</v>
      </c>
      <c r="I18" s="911">
        <f>SUBTOTAL(9,I15:I17)</f>
        <v>0</v>
      </c>
      <c r="J18" s="867">
        <f>SUBTOTAL(9,J14:J17)</f>
        <v>0</v>
      </c>
      <c r="K18" s="932">
        <f t="shared" ref="K18:S18" si="4">SUBTOTAL(9,K15:K17)</f>
        <v>0</v>
      </c>
      <c r="L18" s="932">
        <f t="shared" si="4"/>
        <v>0</v>
      </c>
      <c r="M18" s="932">
        <f t="shared" si="4"/>
        <v>0</v>
      </c>
      <c r="N18" s="932">
        <f t="shared" si="4"/>
        <v>110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3206</v>
      </c>
      <c r="Z18" s="932">
        <f t="shared" si="5"/>
        <v>77</v>
      </c>
      <c r="AA18" s="932">
        <f t="shared" si="5"/>
        <v>631</v>
      </c>
      <c r="AB18" s="932">
        <f t="shared" si="5"/>
        <v>0</v>
      </c>
      <c r="AC18" s="932">
        <f t="shared" si="5"/>
        <v>0</v>
      </c>
      <c r="AD18" s="932">
        <f t="shared" si="5"/>
        <v>0</v>
      </c>
      <c r="AE18" s="932">
        <f t="shared" si="5"/>
        <v>169</v>
      </c>
      <c r="AF18" s="932">
        <f t="shared" si="5"/>
        <v>0</v>
      </c>
      <c r="AG18" s="932">
        <f t="shared" si="5"/>
        <v>0</v>
      </c>
      <c r="AH18" s="932">
        <f t="shared" si="5"/>
        <v>0</v>
      </c>
      <c r="AI18" s="932">
        <f t="shared" si="5"/>
        <v>0</v>
      </c>
      <c r="AJ18" s="932">
        <f t="shared" si="5"/>
        <v>445</v>
      </c>
      <c r="AK18" s="932">
        <f t="shared" si="5"/>
        <v>2269</v>
      </c>
      <c r="AL18" s="932">
        <f t="shared" si="5"/>
        <v>0</v>
      </c>
      <c r="AM18" s="932">
        <f t="shared" si="5"/>
        <v>0</v>
      </c>
      <c r="AN18" s="932">
        <f t="shared" si="5"/>
        <v>0</v>
      </c>
      <c r="AO18" s="934">
        <f>IF(ISNUMBER(((NºAsuntos!I18/NºAsuntos!G18)*11)/factor_trimestre),((NºAsuntos!I18/NºAsuntos!G18)*11)/factor_trimestre," - ")</f>
        <v>2.1650031191515908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706</v>
      </c>
      <c r="G19" s="820">
        <f t="shared" si="7"/>
        <v>699</v>
      </c>
      <c r="H19" s="821">
        <f t="shared" si="7"/>
        <v>0</v>
      </c>
      <c r="I19" s="820">
        <f t="shared" si="7"/>
        <v>0</v>
      </c>
      <c r="J19" s="822">
        <f t="shared" si="7"/>
        <v>0</v>
      </c>
      <c r="K19" s="820">
        <f t="shared" si="7"/>
        <v>0</v>
      </c>
      <c r="L19" s="823">
        <f t="shared" si="7"/>
        <v>0</v>
      </c>
      <c r="M19" s="820">
        <f t="shared" si="7"/>
        <v>0</v>
      </c>
      <c r="N19" s="821">
        <f t="shared" si="7"/>
        <v>956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3209</v>
      </c>
      <c r="Z19" s="827">
        <f t="shared" si="8"/>
        <v>642</v>
      </c>
      <c r="AA19" s="828">
        <f t="shared" si="8"/>
        <v>631</v>
      </c>
      <c r="AB19" s="828">
        <f t="shared" si="8"/>
        <v>0</v>
      </c>
      <c r="AC19" s="828">
        <f t="shared" si="8"/>
        <v>0</v>
      </c>
      <c r="AD19" s="829">
        <f t="shared" si="8"/>
        <v>0</v>
      </c>
      <c r="AE19" s="829">
        <f t="shared" si="8"/>
        <v>3989</v>
      </c>
      <c r="AF19" s="830">
        <f t="shared" si="8"/>
        <v>0</v>
      </c>
      <c r="AG19" s="831">
        <f t="shared" si="8"/>
        <v>0</v>
      </c>
      <c r="AH19" s="832">
        <f t="shared" si="8"/>
        <v>0</v>
      </c>
      <c r="AI19" s="830">
        <f t="shared" si="8"/>
        <v>0</v>
      </c>
      <c r="AJ19" s="820">
        <f t="shared" si="8"/>
        <v>1620</v>
      </c>
      <c r="AK19" s="820">
        <f t="shared" si="8"/>
        <v>4110</v>
      </c>
      <c r="AL19" s="820">
        <f t="shared" si="8"/>
        <v>0</v>
      </c>
      <c r="AM19" s="833">
        <f t="shared" si="8"/>
        <v>0</v>
      </c>
      <c r="AN19" s="823">
        <f>IF(ISNUMBER(Datos!K19/Datos!J19),Datos!K19/Datos!J19," - ")</f>
        <v>0.93499290597188189</v>
      </c>
      <c r="AO19" s="823">
        <f>IF(ISNUMBER(FIND("06",Criterios!A8,1)),(IF(ISNUMBER(((Datos!R19/Datos!Q19)*11)/factor_trimestre),((Datos!R19/Datos!Q19)*11)/factor_trimestre," - ")),(IF(ISNUMBER(((Datos!L19/Datos!K19)*11)/factor_trimestre),((Datos!L19/Datos!K19)*11)/factor_trimestre," - ")))</f>
        <v>5.9969650986342948</v>
      </c>
      <c r="AP19" s="834" t="str">
        <f>IF(ISNUMBER(Datos!CI19/Datos!CJ19),Datos!CI19/Datos!CJ19," - ")</f>
        <v xml:space="preserve"> - </v>
      </c>
      <c r="AQ19" s="834">
        <f>IF(OR(ISNUMBER(FIND("01",Criterios!A8,1)),ISNUMBER(FIND("02",Criterios!A8,1)),ISNUMBER(FIND("03",Criterios!A8,1)),ISNUMBER(FIND("04",Criterios!A8,1))),(J19-Y19+K19)/(F19-K19),(I19-Y19+K19)/(F19-K19))</f>
        <v>-4.5453257790368271</v>
      </c>
      <c r="AR19" s="834">
        <f>IF(ISNUMBER((Datos!P19-Datos!Q19+O19)/(Datos!R19-Datos!P19+Datos!Q19-O19)),(Datos!P19-Datos!Q19+O19)/(Datos!R19-Datos!P19+Datos!Q19-O19)," - ")</f>
        <v>8.5442176870748301E-2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279.60000000000002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404.14518843273805</v>
      </c>
      <c r="G21" s="552">
        <f>IF(ISNUMBER(STDEV(G8:G18)),STDEV(G8:G18),"-")</f>
        <v>372.45241306776359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529.27648729185012</v>
      </c>
      <c r="AK21" s="252"/>
      <c r="AL21" s="252">
        <f>IF(ISNUMBER(STDEV(AL8:AL18)),STDEV(AL8:AL18),"-")</f>
        <v>0</v>
      </c>
      <c r="AM21" s="254">
        <f>IF(ISNUMBER(STDEV(AM8:AM18)),STDEV(AM8:AM18),"-")</f>
        <v>0</v>
      </c>
      <c r="AN21" s="539">
        <f>IF(ISNUMBER(STDEV(AN8:AN18)),STDEV(AN8:AN18),"-")</f>
        <v>0</v>
      </c>
      <c r="AO21" s="540">
        <f>IF(ISNUMBER(STDEV(AO8:AO18)),STDEV(AO8:AO18),"-")</f>
        <v>3.8410425738519423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B5EuolSldX+KRi1Ocy+PKnXXH/S6yK5iI1e6jYz7t5dYeLYD2+7JFt307T3wgHyl0Qrx3wSGIWuSKv8jq85NyQ==" saltValue="zzOzhXgwGdGghWKqtJnk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3cvsAPLxLOa6/BYOAwuxZOiAbYWnZp2kuy4ZVG83aTThQt+p1ivTMY4NupxNPkWHBjWBIpfOskqAYS9wC0rWQ==" saltValue="3f/ZZi/qFH4dFuiMkr2P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s1L2OuYHbl1UgbcNUcuaxiqIKHos/WF9yjIQSZN8yqoP6YMZB2es6Fl0MhTMrP5xlxZFmmPuqSVbap9CqVt1w==" saltValue="QTphxZTm5JnZQbo3Zzks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0.2807646356033453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0.19853057775249544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t469meZegZC9Kz+29WjDS/yIf8ODuJTC2Wxngym6CRkT6jArTWlXR8zI9yYHVqIc9pgH+2q98KtKpSyGKthEQ==" saltValue="OSa2nP2yS0rj6ezcsMWu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WsVh2t4IYdXHuia12FBWygpDyNsbpm953Mmexiz1c/UNbcZaz055iaJ2iccvX2fFsBkk4d8Br/SY8SNEb/fiw==" saltValue="FrT7GIQsXJPABPyvMFbT4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GÜIMAR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0</v>
      </c>
      <c r="F10" s="404">
        <f>IF(ISNUMBER(E10/B10),E10/B10," - ")</f>
        <v>0</v>
      </c>
      <c r="G10" s="403">
        <f>IF(ISNUMBER(Datos!K10),Datos!K10," - ")</f>
        <v>3</v>
      </c>
      <c r="H10" s="404">
        <f>IF(ISNUMBER(G10/B10),G10/B10," - ")</f>
        <v>3</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2746</v>
      </c>
      <c r="D12" s="404">
        <f>IF(ISNUMBER(C12/Datos!BH12),C12/Datos!BH12," - ")</f>
        <v>915.33333333333337</v>
      </c>
      <c r="E12" s="403">
        <f>IF(ISNUMBER(IF(J_V="SI",Datos!J12,Datos!J12+Datos!Z12)),IF(J_V="SI",Datos!J12,Datos!J12+Datos!Z12)," - ")</f>
        <v>4797</v>
      </c>
      <c r="F12" s="404">
        <f>IF(ISNUMBER(E12/B12),E12/B12," - ")</f>
        <v>1599</v>
      </c>
      <c r="G12" s="403">
        <f>IF(ISNUMBER(IF(J_V="SI",Datos!K12,Datos!K12+Datos!AA12)),IF(J_V="SI",Datos!K12,Datos!K12+Datos!AA12)," - ")</f>
        <v>4182</v>
      </c>
      <c r="H12" s="404">
        <f>IF(ISNUMBER(G12/B12),G12/B12," - ")</f>
        <v>1394</v>
      </c>
      <c r="I12" s="403">
        <f>IF(ISNUMBER(IF(J_V="SI",Datos!L12,Datos!L12+Datos!AB12)),IF(J_V="SI",Datos!L12,Datos!L12+Datos!AB12)," - ")</f>
        <v>3361</v>
      </c>
      <c r="J12" s="404">
        <f>IF(ISNUMBER(I12/B12),I12/B12," - ")</f>
        <v>1120.3333333333333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2749</v>
      </c>
      <c r="D13" s="850" t="str">
        <f>IF(ISNUMBER(C13/Datos!BI13),C13/Datos!BI13," - ")</f>
        <v xml:space="preserve"> - </v>
      </c>
      <c r="E13" s="849">
        <f>SUBTOTAL(9,E8:E12)</f>
        <v>4797</v>
      </c>
      <c r="F13" s="850">
        <f>IF(ISNUMBER(E13/B13),E13/B13," - ")</f>
        <v>1599</v>
      </c>
      <c r="G13" s="849">
        <f>SUBTOTAL(9,G8:G12)</f>
        <v>4185</v>
      </c>
      <c r="H13" s="850">
        <f>IF(ISNUMBER(G13/B13),G13/B13," - ")</f>
        <v>1395</v>
      </c>
      <c r="I13" s="849">
        <f>SUBTOTAL(9,I8:I12)</f>
        <v>3361</v>
      </c>
      <c r="J13" s="850">
        <f>IF(ISNUMBER(I13/B13),I13/B13," - ")</f>
        <v>1120.3333333333333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679</v>
      </c>
      <c r="D16" s="404">
        <f>IF(ISNUMBER(C16/Datos!BH16),C16/Datos!BH16," - ")</f>
        <v>226.33333333333334</v>
      </c>
      <c r="E16" s="403">
        <f>IF(ISNUMBER(IF(D_I="SI",Datos!J16,Datos!J16+Datos!AD16)),IF(D_I="SI",Datos!J16,Datos!J16+Datos!AD16)," - ")</f>
        <v>3114</v>
      </c>
      <c r="F16" s="404">
        <f>IF(ISNUMBER(E16/B16),E16/B16," - ")</f>
        <v>1038</v>
      </c>
      <c r="G16" s="403">
        <f>IF(ISNUMBER(IF(D_I="SI",Datos!K16,Datos!K16+Datos!AE16)),IF(D_I="SI",Datos!K16,Datos!K16+Datos!AE16)," - ")</f>
        <v>3189</v>
      </c>
      <c r="H16" s="404">
        <f>IF(ISNUMBER(G16/B16),G16/B16," - ")</f>
        <v>1063</v>
      </c>
      <c r="I16" s="403">
        <f>IF(ISNUMBER(IF(D_I="SI",Datos!L16,Datos!L16+Datos!AF16)),IF(D_I="SI",Datos!L16,Datos!L16+Datos!AF16)," - ")</f>
        <v>628</v>
      </c>
      <c r="J16" s="404">
        <f>IF(ISNUMBER(I16/B16),I16/B16," - ")</f>
        <v>209.33333333333334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2</v>
      </c>
      <c r="F17" s="404">
        <f>IF(ISNUMBER(E17/B17),E17/B17," - ")</f>
        <v>2</v>
      </c>
      <c r="G17" s="403">
        <f>IF(ISNUMBER(IF(D_I="SI",Datos!K17,Datos!K17+Datos!AE17)),IF(D_I="SI",Datos!K17,Datos!K17+Datos!AE17)," - ")</f>
        <v>17</v>
      </c>
      <c r="H17" s="404">
        <f>IF(ISNUMBER(G17/B17),G17/B17," - ")</f>
        <v>17</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696</v>
      </c>
      <c r="D18" s="850" t="str">
        <f>IF(ISNUMBER(C18/Datos!BI18),C18/Datos!BI18," - ")</f>
        <v xml:space="preserve"> - </v>
      </c>
      <c r="E18" s="849">
        <f>SUBTOTAL(9,E14:E17)</f>
        <v>3116</v>
      </c>
      <c r="F18" s="850">
        <f>IF(ISNUMBER(E18/B18),E18/B18," - ")</f>
        <v>1038.6666666666667</v>
      </c>
      <c r="G18" s="849">
        <f>SUBTOTAL(9,G14:G17)</f>
        <v>3206</v>
      </c>
      <c r="H18" s="850">
        <f>IF(ISNUMBER(G18/B18),G18/B18," - ")</f>
        <v>1068.6666666666667</v>
      </c>
      <c r="I18" s="849">
        <f>SUBTOTAL(9,I14:I17)</f>
        <v>631</v>
      </c>
      <c r="J18" s="850">
        <f>IF(ISNUMBER(I18/B18),I18/B18," - ")</f>
        <v>210.33333333333334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3445</v>
      </c>
      <c r="D19" s="795" t="str">
        <f>IF(ISNUMBER(C19/Datos!BI19),C19/Datos!BI19," - ")</f>
        <v xml:space="preserve"> - </v>
      </c>
      <c r="E19" s="794">
        <f>SUBTOTAL(9,E9:E18)</f>
        <v>7913</v>
      </c>
      <c r="F19" s="795">
        <f>IF(ISNUMBER(E19/B19),E19/B19," - ")</f>
        <v>2637.6666666666665</v>
      </c>
      <c r="G19" s="794">
        <f>SUBTOTAL(9,G9:G18)</f>
        <v>7391</v>
      </c>
      <c r="H19" s="795">
        <f>IF(ISNUMBER(G19/B19),G19/B19," - ")</f>
        <v>2463.6666666666665</v>
      </c>
      <c r="I19" s="794">
        <f>SUBTOTAL(9,I9:I18)</f>
        <v>3992</v>
      </c>
      <c r="J19" s="795">
        <f>IF(ISNUMBER(I19/B19),I19/B19," - ")</f>
        <v>1330.6666666666667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1ikVdfENJRtQWNIor9IzrfQVHhG9+vCBK3arZN3aVbUOJlQoBRjWiMpumtA7iaiOwlBqymXyy7mgFYqvt7wChQ==" saltValue="t/OSiptUlAOUoqB5BuTa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1172</v>
      </c>
      <c r="AM12" s="690">
        <f>IF(ISNUMBER(Datos!N12+DatosP!N16),Datos!N12+DatosP!N16," - ")</f>
        <v>1841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8.8405069344811089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7.9706048615036745E-2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846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564</v>
      </c>
      <c r="AE13" s="939">
        <f t="shared" si="1"/>
        <v>0</v>
      </c>
      <c r="AF13" s="939">
        <f t="shared" si="1"/>
        <v>0</v>
      </c>
      <c r="AG13" s="939">
        <f t="shared" si="1"/>
        <v>0</v>
      </c>
      <c r="AH13" s="939">
        <f t="shared" si="1"/>
        <v>3820</v>
      </c>
      <c r="AI13" s="939">
        <f t="shared" si="1"/>
        <v>0</v>
      </c>
      <c r="AJ13" s="939">
        <f t="shared" si="1"/>
        <v>0</v>
      </c>
      <c r="AK13" s="939">
        <f t="shared" si="1"/>
        <v>0</v>
      </c>
      <c r="AL13" s="939">
        <f t="shared" si="1"/>
        <v>1175</v>
      </c>
      <c r="AM13" s="939">
        <f t="shared" si="1"/>
        <v>1841</v>
      </c>
      <c r="AN13" s="939">
        <f t="shared" si="1"/>
        <v>0</v>
      </c>
      <c r="AO13" s="939">
        <f t="shared" si="1"/>
        <v>0</v>
      </c>
      <c r="AP13" s="944">
        <f>IF(ISNUMBER(((Datos!L13/Datos!K13)*11)/factor_trimestre),((Datos!L13/Datos!K13)*11)/factor_trimestre," - ")</f>
        <v>9.0356171160029692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7.9706048615036745E-2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2.1650031191515908</v>
      </c>
      <c r="AQ18" s="944">
        <f>IF(ISNUMBER(((Datos!M18/Datos!L18)*11)/factor_trimestre),((Datos!M18/Datos!L18)*11)/factor_trimestre," - ")</f>
        <v>7.7575277337559436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0.24264705882352941</v>
      </c>
      <c r="AW18" s="946">
        <f>IF(ISNUMBER((Datos!Q18-Datos!R18)/(Datos!S18-Datos!Q18+Datos!R18)),(Datos!Q18-Datos!R18)/(Datos!S18-Datos!Q18+Datos!R18)," - ")</f>
        <v>-0.10722610722610723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846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564</v>
      </c>
      <c r="AE19" s="957">
        <f t="shared" si="5"/>
        <v>0</v>
      </c>
      <c r="AF19" s="958">
        <f t="shared" si="5"/>
        <v>0</v>
      </c>
      <c r="AG19" s="958">
        <f t="shared" si="5"/>
        <v>0</v>
      </c>
      <c r="AH19" s="958">
        <f t="shared" si="5"/>
        <v>3820</v>
      </c>
      <c r="AI19" s="958">
        <f t="shared" si="5"/>
        <v>0</v>
      </c>
      <c r="AJ19" s="959">
        <f t="shared" si="5"/>
        <v>0</v>
      </c>
      <c r="AK19" s="959">
        <f t="shared" si="5"/>
        <v>0</v>
      </c>
      <c r="AL19" s="951">
        <f t="shared" si="5"/>
        <v>1175</v>
      </c>
      <c r="AM19" s="951">
        <f t="shared" si="5"/>
        <v>1841</v>
      </c>
      <c r="AN19" s="951">
        <f t="shared" si="5"/>
        <v>0</v>
      </c>
      <c r="AO19" s="951">
        <f t="shared" si="5"/>
        <v>0</v>
      </c>
      <c r="AP19" s="951">
        <f>IF(ISNUMBER(((Datos!L19/Datos!K19)*11)/factor_trimestre),((Datos!L19/Datos!K19)*11)/factor_trimestre," - ")</f>
        <v>5.9969650986342948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8.5442176870748301E-2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676.65673227518641</v>
      </c>
      <c r="AM21" s="736"/>
      <c r="AN21" s="736">
        <f>IF(ISNUMBER(STDEV(AN8:AN18)),STDEV(AN8:AN18),"-")</f>
        <v>0</v>
      </c>
      <c r="AO21" s="742">
        <f>IF(ISNUMBER(STDEV(AO8:AO18)),STDEV(AO8:AO18),"-")</f>
        <v>0</v>
      </c>
      <c r="AP21" s="779">
        <f>IF(ISNUMBER(STDEV(AP8:AP18)),STDEV(AP8:AP18),"-")</f>
        <v>4.6214169354637402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SrpEPKemvNydOTbFsxKIGmHb9bgUrXl123Rv1Azm6UoOFmsuWaIgoXdBtQAJZcu8Lh0JXxmyTOlcrB/nCbKQw==" saltValue="pzHVtXNKWomi/Tz7SQm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GÜIMAR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qMr8U+X1NX5euH1CsQOVSo1KU1wVulboOWgXDVBScu4TTof6gZlmlYxhc0jk0hFX1eqzKy5qIiLlPFLgGgbGA==" saltValue="Y/wKXTLMWRnGXnY8h8hA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GÜIMAR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1172</v>
      </c>
      <c r="E12" s="404">
        <f t="shared" si="0"/>
        <v>390.66666666666669</v>
      </c>
      <c r="F12" s="403">
        <f>IF(ISNUMBER(Datos!N12),Datos!N12," - ")</f>
        <v>1841</v>
      </c>
      <c r="G12" s="404">
        <f t="shared" si="1"/>
        <v>613.66666666666663</v>
      </c>
      <c r="H12" s="403">
        <f>IF(ISNUMBER(Datos!O12),Datos!O12," - ")</f>
        <v>1372</v>
      </c>
      <c r="I12" s="404">
        <f t="shared" si="2"/>
        <v>457.33333333333331</v>
      </c>
      <c r="BZ12" s="1186">
        <f>Datos!EZ12</f>
        <v>0</v>
      </c>
    </row>
    <row r="13" spans="1:78" ht="14.25" thickTop="1" thickBot="1">
      <c r="A13" s="848" t="str">
        <f>Datos!A13</f>
        <v>TOTAL</v>
      </c>
      <c r="B13" s="849">
        <f>Datos!AP13</f>
        <v>3</v>
      </c>
      <c r="C13" s="851">
        <f>Datos!AR13</f>
        <v>3</v>
      </c>
      <c r="D13" s="849">
        <f>SUBTOTAL(9,D9:D12)</f>
        <v>1175</v>
      </c>
      <c r="E13" s="850">
        <f t="shared" si="0"/>
        <v>391.66666666666669</v>
      </c>
      <c r="F13" s="849">
        <f>SUBTOTAL(9,F9:F12)</f>
        <v>1841</v>
      </c>
      <c r="G13" s="850">
        <f t="shared" si="1"/>
        <v>613.66666666666663</v>
      </c>
      <c r="H13" s="849">
        <f>SUBTOTAL(9,H9:H12)</f>
        <v>1372</v>
      </c>
      <c r="I13" s="850">
        <f>IF(ISNUMBER(H13/B13),H13/B13," - ")</f>
        <v>457.33333333333331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445</v>
      </c>
      <c r="E16" s="404">
        <f t="shared" si="3"/>
        <v>148.33333333333334</v>
      </c>
      <c r="F16" s="403">
        <f>IF(ISNUMBER(Datos!N16),Datos!N16," - ")</f>
        <v>2266</v>
      </c>
      <c r="G16" s="404">
        <f t="shared" si="4"/>
        <v>755.33333333333337</v>
      </c>
      <c r="H16" s="403">
        <f>IF(ISNUMBER(Datos!O16),Datos!O16," - ")</f>
        <v>53</v>
      </c>
      <c r="I16" s="404">
        <f t="shared" si="5"/>
        <v>17.666666666666668</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445</v>
      </c>
      <c r="E18" s="850">
        <f t="shared" si="3"/>
        <v>148.33333333333334</v>
      </c>
      <c r="F18" s="849">
        <f>SUBTOTAL(9,F15:F17)</f>
        <v>2269</v>
      </c>
      <c r="G18" s="850">
        <f t="shared" si="4"/>
        <v>756.33333333333337</v>
      </c>
      <c r="H18" s="849">
        <f>SUBTOTAL(9,H15:H17)</f>
        <v>54</v>
      </c>
      <c r="I18" s="850">
        <f>IF(ISNUMBER(H18/B18),H18/B18," - ")</f>
        <v>18</v>
      </c>
      <c r="BZ18" s="1186"/>
    </row>
    <row r="19" spans="1:78" ht="14.25" thickTop="1" thickBot="1">
      <c r="A19" s="793" t="str">
        <f>Datos!A19</f>
        <v>TOTAL JURISDICCIONES</v>
      </c>
      <c r="B19" s="794">
        <f>Datos!AP19</f>
        <v>3</v>
      </c>
      <c r="C19" s="794">
        <f>Datos!AR19</f>
        <v>3</v>
      </c>
      <c r="D19" s="794">
        <f>SUBTOTAL(9,D8:D18)</f>
        <v>1620</v>
      </c>
      <c r="E19" s="795">
        <f>IF(ISNUMBER(D19/B19),D19/B19," - ")</f>
        <v>540</v>
      </c>
      <c r="F19" s="794">
        <f>SUBTOTAL(9,F8:F18)</f>
        <v>4110</v>
      </c>
      <c r="G19" s="795">
        <f>IF(ISNUMBER(F19/B19),F19/B19," - ")</f>
        <v>1370</v>
      </c>
      <c r="H19" s="794">
        <f>SUBTOTAL(9,H8:H18)</f>
        <v>1426</v>
      </c>
      <c r="I19" s="795">
        <f>IF(ISNUMBER(H19/B19),H19/B19," - ")</f>
        <v>475.33333333333331</v>
      </c>
    </row>
    <row r="22" spans="1:78">
      <c r="A22" s="391" t="str">
        <f>Criterios!A4</f>
        <v>Fecha Informe: 28 feb. 2025</v>
      </c>
    </row>
    <row r="27" spans="1:78">
      <c r="A27" s="414"/>
    </row>
  </sheetData>
  <sheetProtection algorithmName="SHA-512" hashValue="3ysqSu5pz3UZf9ZvyhtAkvgXlNCyh9YZYzIJ8qlnF9thEo1+P9YgioOlq+lfd1+ia6TGOObRF3nHLzh/99bPJA==" saltValue="25iiVHtG/Ykk/tt7eVPT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GÜIMAR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846</v>
      </c>
      <c r="C12" s="434">
        <f>IF(ISNUMBER(Datos!Q12),Datos!Q12," - ")</f>
        <v>564</v>
      </c>
      <c r="D12" s="408">
        <f>IF(ISNUMBER(Datos!R12),Datos!R12," - ")</f>
        <v>3820</v>
      </c>
    </row>
    <row r="13" spans="1:4" ht="14.25" thickTop="1" thickBot="1">
      <c r="A13" s="848" t="str">
        <f>Datos!A13</f>
        <v>TOTAL</v>
      </c>
      <c r="B13" s="849">
        <f>SUBTOTAL(9,B9:B12)</f>
        <v>846</v>
      </c>
      <c r="C13" s="853">
        <f>SUBTOTAL(9,C9:C12)</f>
        <v>565</v>
      </c>
      <c r="D13" s="851">
        <f>SUBTOTAL(9,D9:D12)</f>
        <v>3820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110</v>
      </c>
      <c r="C16" s="434">
        <f>IF(ISNUMBER(Datos!Q16),Datos!Q16," - ")</f>
        <v>76</v>
      </c>
      <c r="D16" s="408">
        <f>IF(ISNUMBER(Datos!R16),Datos!R16," - ")</f>
        <v>169</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110</v>
      </c>
      <c r="C18" s="853">
        <f>SUBTOTAL(9,C15:C17)</f>
        <v>77</v>
      </c>
      <c r="D18" s="851">
        <f>SUBTOTAL(9,D15:D17)</f>
        <v>169</v>
      </c>
    </row>
    <row r="19" spans="1:4" ht="16.5" customHeight="1" thickTop="1" thickBot="1">
      <c r="A19" s="793" t="str">
        <f>Datos!A19</f>
        <v>TOTAL JURISDICCIONES</v>
      </c>
      <c r="B19" s="798">
        <f>SUBTOTAL(9,B8:B18)</f>
        <v>956</v>
      </c>
      <c r="C19" s="799">
        <f>SUBTOTAL(9,C8:C18)</f>
        <v>642</v>
      </c>
      <c r="D19" s="800">
        <f>SUBTOTAL(9,D8:D18)</f>
        <v>3989</v>
      </c>
    </row>
    <row r="20" spans="1:4" ht="7.5" customHeight="1"/>
    <row r="21" spans="1:4" ht="6" customHeight="1"/>
    <row r="22" spans="1:4">
      <c r="A22" s="391" t="str">
        <f>Criterios!A4</f>
        <v>Fecha Informe: 28 feb. 2025</v>
      </c>
    </row>
    <row r="27" spans="1:4">
      <c r="A27" s="414"/>
    </row>
  </sheetData>
  <sheetProtection algorithmName="SHA-512" hashValue="xIuFCPe5bCprL51WhA5p4jkylDoEYrG4kmStgy9W3PH32WE6v6Qt0Rc3QjBnt3Wt+xpItWj9mzUIk0S9Cct5tg==" saltValue="oKGdw9NfJR8uaYhI4XXl0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GÜIMAR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-0.76923076923076927</v>
      </c>
      <c r="C10" s="456">
        <f>IF(ISNUMBER((Datos!J10-Datos!T10)/Datos!T10),(Datos!J10-Datos!T10)/Datos!T10," - ")</f>
        <v>-1</v>
      </c>
      <c r="D10" s="456">
        <f>IF(ISNUMBER((Datos!K10-Datos!U10)/Datos!U10),(Datos!K10-Datos!U10)/Datos!U10," - ")</f>
        <v>-0.75</v>
      </c>
      <c r="E10" s="456">
        <f>IF(ISNUMBER((Datos!L10-Datos!V10)/Datos!V10),(Datos!L10-Datos!V10)/Datos!V10," - ")</f>
        <v>-1</v>
      </c>
      <c r="F10" s="456">
        <f>IF(ISNUMBER((Datos!M10-Datos!W10)/Datos!W10),(Datos!M10-Datos!W10)/Datos!W10," - ")</f>
        <v>-0.7</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9.0548054011119941E-2</v>
      </c>
      <c r="C12" s="456">
        <f>IF(ISNUMBER(
   IF(J_V="SI",(Datos!J12-Datos!T12)/Datos!T12,(Datos!J12+Datos!Z12-(Datos!T12+Datos!AH12))/(Datos!T12+Datos!AH12))
     ),IF(J_V="SI",(Datos!J12-Datos!T12)/Datos!T12,(Datos!J12+Datos!Z12-(Datos!T12+Datos!AH12))/(Datos!T12+Datos!AH12))," - ")</f>
        <v>0.38281925626981839</v>
      </c>
      <c r="D12" s="456">
        <f>IF(ISNUMBER(
   IF(J_V="SI",(Datos!K12-Datos!U12)/Datos!U12,(Datos!K12+Datos!AA12-(Datos!U12+Datos!AI12))/(Datos!U12+Datos!AI12))
     ),IF(J_V="SI",(Datos!K12-Datos!U12)/Datos!U12,(Datos!K12+Datos!AA12-(Datos!U12+Datos!AI12))/(Datos!U12+Datos!AI12))," - ")</f>
        <v>0.29553903345724908</v>
      </c>
      <c r="E12" s="456">
        <f>IF(ISNUMBER(
   IF(J_V="SI",(Datos!L12-Datos!V12)/Datos!V12,(Datos!L12+Datos!AB12-(Datos!V12+Datos!AJ12))/(Datos!V12+Datos!AJ12))
     ),IF(J_V="SI",(Datos!L12-Datos!V12)/Datos!V12,(Datos!L12+Datos!AB12-(Datos!V12+Datos!AJ12))/(Datos!V12+Datos!AJ12))," - ")</f>
        <v>0.2239621267297888</v>
      </c>
      <c r="F12" s="456">
        <f>IF(ISNUMBER((Datos!M12-Datos!W12)/Datos!W12),(Datos!M12-Datos!W12)/Datos!W12," - ")</f>
        <v>0.50064020486555694</v>
      </c>
      <c r="G12" s="457">
        <f>IF(ISNUMBER((Datos!N12-Datos!X12)/Datos!X12),(Datos!N12-Datos!X12)/Datos!X12," - ")</f>
        <v>0.28921568627450983</v>
      </c>
      <c r="H12" s="455">
        <f>IF(ISNUMBER(((NºAsuntos!G12/NºAsuntos!E12)-Datos!BD12)/Datos!BD12),((NºAsuntos!G12/NºAsuntos!E12)-Datos!BD12)/Datos!BD12," - ")</f>
        <v>-6.3117592857369814E-2</v>
      </c>
      <c r="I12" s="456">
        <f>IF(ISNUMBER(((NºAsuntos!I12/NºAsuntos!G12)-Datos!BE12)/Datos!BE12),((NºAsuntos!I12/NºAsuntos!G12)-Datos!BE12)/Datos!BE12," - ")</f>
        <v>-5.5248745795370979E-2</v>
      </c>
      <c r="J12" s="461">
        <f>IF(ISNUMBER((('Resol  Asuntos'!D12/NºAsuntos!G12)-Datos!BF12)/Datos!BF12),(('Resol  Asuntos'!D12/NºAsuntos!G12)-Datos!BF12)/Datos!BF12," - ")</f>
        <v>-0.36649667040417305</v>
      </c>
      <c r="K12" s="462">
        <f>IF(ISNUMBER((((NºAsuntos!C12+NºAsuntos!E12)/NºAsuntos!G12)-Datos!BG12)/Datos!BG12),(((NºAsuntos!C12+NºAsuntos!E12)/NºAsuntos!G12)-Datos!BG12)/Datos!BG12," - ")</f>
        <v>-2.7511784859543836E-2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8.6131963650730933E-2</v>
      </c>
      <c r="C13" s="855">
        <f>IF(ISNUMBER(
   IF(J_V="SI",(Datos!J13-Datos!T13)/Datos!T13,(Datos!J13+Datos!Z13-(Datos!T13+Datos!AH13))/(Datos!T13+Datos!AH13))
     ),IF(J_V="SI",(Datos!J13-Datos!T13)/Datos!T13,(Datos!J13+Datos!Z13-(Datos!T13+Datos!AH13))/(Datos!T13+Datos!AH13))," - ")</f>
        <v>0.38202247191011235</v>
      </c>
      <c r="D13" s="855">
        <f>IF(ISNUMBER(
   IF(J_V="SI",(Datos!K13-Datos!U13)/Datos!U13,(Datos!K13+Datos!AA13-(Datos!U13+Datos!AI13))/(Datos!U13+Datos!AI13))
     ),IF(J_V="SI",(Datos!K13-Datos!U13)/Datos!U13,(Datos!K13+Datos!AA13-(Datos!U13+Datos!AI13))/(Datos!U13+Datos!AI13))," - ")</f>
        <v>0.29166666666666669</v>
      </c>
      <c r="E13" s="855">
        <f>IF(ISNUMBER(
   IF(J_V="SI",(Datos!L13-Datos!V13)/Datos!V13,(Datos!L13+Datos!AB13-(Datos!V13+Datos!AJ13))/(Datos!V13+Datos!AJ13))
     ),IF(J_V="SI",(Datos!L13-Datos!V13)/Datos!V13,(Datos!L13+Datos!AB13-(Datos!V13+Datos!AJ13))/(Datos!V13+Datos!AJ13))," - ")</f>
        <v>0.22262640960349217</v>
      </c>
      <c r="F13" s="856">
        <f>IF(ISNUMBER((Datos!M13-Datos!W13)/Datos!W13),(Datos!M13-Datos!W13)/Datos!W13," - ")</f>
        <v>0.48546144121365359</v>
      </c>
      <c r="G13" s="857">
        <f>IF(ISNUMBER((Datos!N13-Datos!X13)/Datos!X13),(Datos!N13-Datos!X13)/Datos!X13," - ")</f>
        <v>0.28741258741258741</v>
      </c>
      <c r="H13" s="857">
        <f>IF(ISNUMBER(((NºAsuntos!G13/NºAsuntos!E13)-Datos!BD13)/Datos!BD13),((NºAsuntos!G13/NºAsuntos!E13)-Datos!BD13)/Datos!BD13," - ")</f>
        <v>-6.5379403794037949E-2</v>
      </c>
      <c r="I13" s="857">
        <f>IF(ISNUMBER(((NºAsuntos!I13/NºAsuntos!G13)-Datos!BE13)/Datos!BE13),((NºAsuntos!I13/NºAsuntos!G13)-Datos!BE13)/Datos!BE13," - ")</f>
        <v>-5.345052159729638E-2</v>
      </c>
      <c r="J13" s="857">
        <f>IF(ISNUMBER((('Resol  Asuntos'!D13/NºAsuntos!G13)-Datos!BF13)/Datos!BF13),(('Resol  Asuntos'!D13/NºAsuntos!G13)-Datos!BF13)/Datos!BF13," - ")</f>
        <v>-0.36740096011485479</v>
      </c>
      <c r="K13" s="857">
        <f>IF(ISNUMBER((((NºAsuntos!C13+NºAsuntos!E13)/NºAsuntos!G13)-Datos!BG13)/Datos!BG13),(((NºAsuntos!C13+NºAsuntos!E13)/NºAsuntos!G13)-Datos!BG13)/Datos!BG13," - ")</f>
        <v>-2.6647031634616403E-2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-5.9556786703601108E-2</v>
      </c>
      <c r="C16" s="456">
        <f>IF(ISNUMBER(
   IF(D_I="SI",(Datos!J16-Datos!T16)/Datos!T16,(Datos!J16+Datos!AD16-(Datos!T16+Datos!AL16))/(Datos!T16+Datos!AL16))
     ),IF(D_I="SI",(Datos!J16-Datos!T16)/Datos!T16,(Datos!J16+Datos!AD16-(Datos!T16+Datos!AL16))/(Datos!T16+Datos!AL16))," - ")</f>
        <v>2.8401585204755615E-2</v>
      </c>
      <c r="D16" s="456">
        <f>IF(ISNUMBER(
   IF(D_I="SI",(Datos!K16-Datos!U16)/Datos!U16,(Datos!K16+Datos!AE16-(Datos!U16+Datos!AM16))/(Datos!U16+Datos!AM16))
     ),IF(D_I="SI",(Datos!K16-Datos!U16)/Datos!U16,(Datos!K16+Datos!AE16-(Datos!U16+Datos!AM16))/(Datos!U16+Datos!AM16))," - ")</f>
        <v>4.2497548218372018E-2</v>
      </c>
      <c r="E16" s="456">
        <f>IF(ISNUMBER(
   IF(D_I="SI",(Datos!L16-Datos!V16)/Datos!V16,(Datos!L16+Datos!AF16-(Datos!V16+Datos!AN16))/(Datos!V16+Datos!AN16))
     ),IF(D_I="SI",(Datos!L16-Datos!V16)/Datos!V16,(Datos!L16+Datos!AF16-(Datos!V16+Datos!AN16))/(Datos!V16+Datos!AN16))," - ")</f>
        <v>-7.511045655375552E-2</v>
      </c>
      <c r="F16" s="456">
        <f>IF(ISNUMBER((Datos!M16-Datos!W16)/Datos!W16),(Datos!M16-Datos!W16)/Datos!W16," - ")</f>
        <v>0.13810741687979539</v>
      </c>
      <c r="G16" s="457">
        <f>IF(ISNUMBER((Datos!N16-Datos!X16)/Datos!X16),(Datos!N16-Datos!X16)/Datos!X16," - ")</f>
        <v>4.3758636573007832E-2</v>
      </c>
      <c r="H16" s="455">
        <f>IF(ISNUMBER(((NºAsuntos!G16/NºAsuntos!E16)-Datos!BD16)/Datos!BD16),((NºAsuntos!G16/NºAsuntos!E16)-Datos!BD16)/Datos!BD16," - ")</f>
        <v>1.370667180643239E-2</v>
      </c>
      <c r="I16" s="456">
        <f>IF(ISNUMBER(((NºAsuntos!I16/NºAsuntos!G16)-Datos!BE16)/Datos!BE16),((NºAsuntos!I16/NºAsuntos!G16)-Datos!BE16)/Datos!BE16," - ")</f>
        <v>-0.11281369915269304</v>
      </c>
      <c r="J16" s="461">
        <f>IF(ISNUMBER((('Resol  Asuntos'!D16/NºAsuntos!G16)-Datos!BF16)/Datos!BF16),(('Resol  Asuntos'!D16/NºAsuntos!G16)-Datos!BF16)/Datos!BF16," - ")</f>
        <v>9.1712319923265659E-2</v>
      </c>
      <c r="K16" s="462">
        <f>IF(ISNUMBER((((NºAsuntos!C16+NºAsuntos!E16)/NºAsuntos!G16)-Datos!BG16)/Datos!BG16),(((NºAsuntos!C16+NºAsuntos!E16)/NºAsuntos!G16)-Datos!BG16)/Datos!BG16," - ")</f>
        <v>-2.9765903627051459E-2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-0.61363636363636365</v>
      </c>
      <c r="C17" s="456">
        <f>IF(ISNUMBER(
   IF(D_I="SI",(Datos!J17-Datos!T17)/Datos!T17,(Datos!J17+Datos!AD17-(Datos!T17+Datos!AL17))/(Datos!T17+Datos!AL17))
     ),IF(D_I="SI",(Datos!J17-Datos!T17)/Datos!T17,(Datos!J17+Datos!AD17-(Datos!T17+Datos!AL17))/(Datos!T17+Datos!AL17))," - ")</f>
        <v>-0.81818181818181823</v>
      </c>
      <c r="D17" s="456">
        <f>IF(ISNUMBER(
   IF(D_I="SI",(Datos!K17-Datos!U17)/Datos!U17,(Datos!K17+Datos!AE17-(Datos!U17+Datos!AM17))/(Datos!U17+Datos!AM17))
     ),IF(D_I="SI",(Datos!K17-Datos!U17)/Datos!U17,(Datos!K17+Datos!AE17-(Datos!U17+Datos!AM17))/(Datos!U17+Datos!AM17))," - ")</f>
        <v>-0.5641025641025641</v>
      </c>
      <c r="E17" s="456">
        <f>IF(ISNUMBER(
   IF(D_I="SI",(Datos!L17-Datos!V17)/Datos!V17,(Datos!L17+Datos!AF17-(Datos!V17+Datos!AN17))/(Datos!V17+Datos!AN17))
     ),IF(D_I="SI",(Datos!L17-Datos!V17)/Datos!V17,(Datos!L17+Datos!AF17-(Datos!V17+Datos!AN17))/(Datos!V17+Datos!AN17))," - ")</f>
        <v>-0.82352941176470584</v>
      </c>
      <c r="F17" s="456">
        <f>IF(ISNUMBER((Datos!M17-Datos!W17)/Datos!W17),(Datos!M17-Datos!W17)/Datos!W17," - ")</f>
        <v>-1</v>
      </c>
      <c r="G17" s="457">
        <f>IF(ISNUMBER((Datos!N17-Datos!X17)/Datos!X17),(Datos!N17-Datos!X17)/Datos!X17," - ")</f>
        <v>-0.84210526315789469</v>
      </c>
      <c r="H17" s="455">
        <f>IF(ISNUMBER(((NºAsuntos!G17/NºAsuntos!E17)-Datos!BD17)/Datos!BD17),((NºAsuntos!G17/NºAsuntos!E17)-Datos!BD17)/Datos!BD17," - ")</f>
        <v>1.3974358974358976</v>
      </c>
      <c r="I17" s="456">
        <f>IF(ISNUMBER(((NºAsuntos!I17/NºAsuntos!G17)-Datos!BE17)/Datos!BE17),((NºAsuntos!I17/NºAsuntos!G17)-Datos!BE17)/Datos!BE17," - ")</f>
        <v>-0.59515570934256046</v>
      </c>
      <c r="J17" s="461">
        <f>IF(ISNUMBER((('Resol  Asuntos'!D17/NºAsuntos!G17)-Datos!BF17)/Datos!BF17),(('Resol  Asuntos'!D17/NºAsuntos!G17)-Datos!BF17)/Datos!BF17," - ")</f>
        <v>-1</v>
      </c>
      <c r="K17" s="462">
        <f>IF(ISNUMBER((((NºAsuntos!C17+NºAsuntos!E17)/NºAsuntos!G17)-Datos!BG17)/Datos!BG17),(((NºAsuntos!C17+NºAsuntos!E17)/NºAsuntos!G17)-Datos!BG17)/Datos!BG17," - ")</f>
        <v>-0.20748663101604281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-9.1383812010443863E-2</v>
      </c>
      <c r="C18" s="855">
        <f>IF(ISNUMBER(
   IF(Criterios!B14="SI",(Datos!J18-Datos!T18)/Datos!T18,(Datos!J18+Datos!AD18-(Datos!T18+Datos!AL18))/(Datos!T18+Datos!AL18))
     ),IF(Criterios!B14="SI",(Datos!J18-Datos!T18)/Datos!T18,(Datos!J18+Datos!AD18-(Datos!T18+Datos!AL18))/(Datos!T18+Datos!AL18))," - ")</f>
        <v>2.5337282000658112E-2</v>
      </c>
      <c r="D18" s="855">
        <f>IF(ISNUMBER(
   IF(Criterios!B14="SI",(Datos!K18-Datos!U18)/Datos!U18,(Datos!K18+Datos!AE18-(Datos!U18+Datos!AM18))/(Datos!U18+Datos!AM18))
     ),IF(Criterios!B14="SI",(Datos!K18-Datos!U18)/Datos!U18,(Datos!K18+Datos!AE18-(Datos!U18+Datos!AM18))/(Datos!U18+Datos!AM18))," - ")</f>
        <v>3.4861200774693353E-2</v>
      </c>
      <c r="E18" s="855">
        <f>IF(ISNUMBER(
   IF(Criterios!B14="SI",(Datos!L18-Datos!V18)/Datos!V18,(Datos!L18+Datos!AF18-(Datos!V18+Datos!AN18))/(Datos!V18+Datos!AN18))
     ),IF(Criterios!B14="SI",(Datos!L18-Datos!V18)/Datos!V18,(Datos!L18+Datos!AF18-(Datos!V18+Datos!AN18))/(Datos!V18+Datos!AN18))," - ")</f>
        <v>-9.3390804597701146E-2</v>
      </c>
      <c r="F18" s="856">
        <f>IF(ISNUMBER((Datos!M18-Datos!W18)/Datos!W18),(Datos!M18-Datos!W18)/Datos!W18," - ")</f>
        <v>0.12944162436548223</v>
      </c>
      <c r="G18" s="857">
        <f>IF(ISNUMBER((Datos!N18-Datos!X18)/Datos!X18),(Datos!N18-Datos!X18)/Datos!X18," - ")</f>
        <v>3.6073059360730596E-2</v>
      </c>
      <c r="H18" s="857">
        <f>IF(ISNUMBER(((NºAsuntos!G18/NºAsuntos!E18)-Datos!BD18)/Datos!BD18),((NºAsuntos!G18/NºAsuntos!E18)-Datos!BD18)/Datos!BD18," - ")</f>
        <v>9.2885716156269008E-3</v>
      </c>
      <c r="I18" s="857">
        <f>IF(ISNUMBER(((NºAsuntos!I18/NºAsuntos!G18)-Datos!BE18)/Datos!BE18),((NºAsuntos!I18/NºAsuntos!G18)-Datos!BE18)/Datos!BE18," - ")</f>
        <v>-0.12393160094936936</v>
      </c>
      <c r="J18" s="857">
        <f>IF(ISNUMBER((('Resol  Asuntos'!D18/NºAsuntos!G18)-Datos!BF18)/Datos!BF18),(('Resol  Asuntos'!D18/NºAsuntos!G18)-Datos!BF18)/Datos!BF18," - ")</f>
        <v>9.1394308260843271E-2</v>
      </c>
      <c r="K18" s="857">
        <f>IF(ISNUMBER((((NºAsuntos!C18+NºAsuntos!E18)/NºAsuntos!G18)-Datos!BG18)/Datos!BG18),(((NºAsuntos!C18+NºAsuntos!E18)/NºAsuntos!G18)-Datos!BG18)/Datos!BG18," - ")</f>
        <v>-3.1909125711236309E-2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4.4889293296936611E-2</v>
      </c>
      <c r="C19" s="802">
        <f>IF(ISNUMBER(
   IF(J_V="SI",(Datos!J19-Datos!T19)/Datos!T19,(Datos!J19+Datos!Z19-(Datos!T19+Datos!AH19))/(Datos!T19+Datos!AH19))
     ),IF(J_V="SI",(Datos!J19-Datos!T19)/Datos!T19,(Datos!J19+Datos!Z19-(Datos!T19+Datos!AH19))/(Datos!T19+Datos!AH19))," - ")</f>
        <v>0.21551459293394779</v>
      </c>
      <c r="D19" s="802">
        <f>IF(ISNUMBER(
   IF(J_V="SI",(Datos!K19-Datos!U19)/Datos!U19,(Datos!K19+Datos!AA19-(Datos!U19+Datos!AI19))/(Datos!U19+Datos!AI19))
     ),IF(J_V="SI",(Datos!K19-Datos!U19)/Datos!U19,(Datos!K19+Datos!AA19-(Datos!U19+Datos!AI19))/(Datos!U19+Datos!AI19))," - ")</f>
        <v>0.16614073840328178</v>
      </c>
      <c r="E19" s="802">
        <f>IF(ISNUMBER(
   IF(J_V="SI",(Datos!L19-Datos!V19)/Datos!V19,(Datos!L19+Datos!AB19-(Datos!V19+Datos!AJ19))/(Datos!V19+Datos!AJ19))
     ),IF(J_V="SI",(Datos!L19-Datos!V19)/Datos!V19,(Datos!L19+Datos!AB19-(Datos!V19+Datos!AJ19))/(Datos!V19+Datos!AJ19))," - ")</f>
        <v>0.15878084179970972</v>
      </c>
      <c r="F19" s="803">
        <f>IF(ISNUMBER((Datos!M19-Datos!W19)/Datos!W19),(Datos!M19-Datos!W19)/Datos!W19," - ")</f>
        <v>0.36708860759493672</v>
      </c>
      <c r="G19" s="804">
        <f>IF(ISNUMBER((Datos!N19-Datos!X19)/Datos!X19),(Datos!N19-Datos!X19)/Datos!X19," - ")</f>
        <v>0.13535911602209943</v>
      </c>
      <c r="H19" s="805">
        <f>IF(ISNUMBER((Tasas!B19-Datos!BD19)/Datos!BD19),(Tasas!B19-Datos!BD19)/Datos!BD19," - ")</f>
        <v>-4.0619713508736943E-2</v>
      </c>
      <c r="I19" s="806">
        <f>IF(ISNUMBER((Tasas!C19-Datos!BE19)/Datos!BE19),(Tasas!C19-Datos!BE19)/Datos!BE19," - ")</f>
        <v>-6.311327922262194E-3</v>
      </c>
      <c r="J19" s="807">
        <f>IF(ISNUMBER((Tasas!D19-Datos!BF19)/Datos!BF19),(Tasas!D19-Datos!BF19)/Datos!BF19," - ")</f>
        <v>-0.24170432704948</v>
      </c>
      <c r="K19" s="807">
        <f>IF(ISNUMBER((Tasas!E19-Datos!BG19)/Datos!BG19),(Tasas!E19-Datos!BG19)/Datos!BG19," - ")</f>
        <v>-6.8502865692109645E-3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fRURPk6JyAIBAr1QrgVPQAGvvf1FOLcJcs0WQkwBcdIKVYBTfMCPFQZV5cWlhRjjf3ju7cqCTL4mtwszPzpng==" saltValue="K2cv5bUHOI3c99DL1+91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GÜIMAR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0.87179487179487181</v>
      </c>
      <c r="C12" s="443">
        <f>IF(ISNUMBER(NºAsuntos!I12/NºAsuntos!G12),NºAsuntos!I12/NºAsuntos!G12," - ")</f>
        <v>0.8036824485891918</v>
      </c>
      <c r="D12" s="444">
        <f>IF(ISNUMBER('Resol  Asuntos'!D12/NºAsuntos!G12),'Resol  Asuntos'!D12/NºAsuntos!G12," - ")</f>
        <v>0.2802486848397896</v>
      </c>
      <c r="E12" s="445">
        <f>IF(ISNUMBER((NºAsuntos!C12+NºAsuntos!E12)/NºAsuntos!G12),(NºAsuntos!C12+NºAsuntos!E12)/NºAsuntos!G12," - ")</f>
        <v>1.8036824485891918</v>
      </c>
      <c r="G12" s="463"/>
    </row>
    <row r="13" spans="1:7" ht="14.25" thickTop="1" thickBot="1">
      <c r="A13" s="848" t="str">
        <f>Datos!A13</f>
        <v>TOTAL</v>
      </c>
      <c r="B13" s="858">
        <f>IF(ISNUMBER(NºAsuntos!G13/NºAsuntos!E13),NºAsuntos!G13/NºAsuntos!E13," - ")</f>
        <v>0.87242026266416506</v>
      </c>
      <c r="C13" s="859">
        <f>IF(ISNUMBER(NºAsuntos!I13/NºAsuntos!G13),NºAsuntos!I13/NºAsuntos!G13," - ")</f>
        <v>0.80310633213859017</v>
      </c>
      <c r="D13" s="860">
        <f>IF(ISNUMBER('Resol  Asuntos'!D13/NºAsuntos!G13),'Resol  Asuntos'!D13/NºAsuntos!G13," - ")</f>
        <v>0.2807646356033453</v>
      </c>
      <c r="E13" s="861">
        <f>IF(ISNUMBER((NºAsuntos!C13+NºAsuntos!E13)/NºAsuntos!G13),(NºAsuntos!C13+NºAsuntos!E13)/NºAsuntos!G13," - ")</f>
        <v>1.8031063321385903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1.0240847784200386</v>
      </c>
      <c r="C16" s="443">
        <f>IF(ISNUMBER(NºAsuntos!I16/NºAsuntos!G16),NºAsuntos!I16/NºAsuntos!G16," - ")</f>
        <v>0.19692693634368141</v>
      </c>
      <c r="D16" s="444">
        <f>IF(ISNUMBER('Resol  Asuntos'!D16/NºAsuntos!G16),'Resol  Asuntos'!D16/NºAsuntos!G16," - ")</f>
        <v>0.13954217623079335</v>
      </c>
      <c r="E16" s="445">
        <f>IF(ISNUMBER((NºAsuntos!C16+NºAsuntos!E16)/NºAsuntos!G16),(NºAsuntos!C16+NºAsuntos!E16)/NºAsuntos!G16," - ")</f>
        <v>1.1894010661649419</v>
      </c>
      <c r="G16" s="463"/>
    </row>
    <row r="17" spans="1:7" ht="13.5" thickBot="1">
      <c r="A17" s="402" t="str">
        <f>Datos!A17</f>
        <v>Jdos. Violencia contra la mujer</v>
      </c>
      <c r="B17" s="442">
        <f>IF(ISNUMBER(NºAsuntos!G17/NºAsuntos!E17),NºAsuntos!G17/NºAsuntos!E17," - ")</f>
        <v>8.5</v>
      </c>
      <c r="C17" s="443">
        <f>IF(ISNUMBER(NºAsuntos!I17/NºAsuntos!G17),NºAsuntos!I17/NºAsuntos!G17," - ")</f>
        <v>0.17647058823529413</v>
      </c>
      <c r="D17" s="444">
        <f>IF(ISNUMBER('Resol  Asuntos'!D17/NºAsuntos!G17),'Resol  Asuntos'!D17/NºAsuntos!G17," - ")</f>
        <v>0</v>
      </c>
      <c r="E17" s="445">
        <f>IF(ISNUMBER((NºAsuntos!C17+NºAsuntos!E17)/NºAsuntos!G17),(NºAsuntos!C17+NºAsuntos!E17)/NºAsuntos!G17," - ")</f>
        <v>1.1176470588235294</v>
      </c>
      <c r="G17" s="463"/>
    </row>
    <row r="18" spans="1:7" ht="14.25" thickTop="1" thickBot="1">
      <c r="A18" s="848" t="str">
        <f>Datos!A18</f>
        <v>TOTAL</v>
      </c>
      <c r="B18" s="858">
        <f>IF(ISNUMBER(NºAsuntos!G18/NºAsuntos!E18),NºAsuntos!G18/NºAsuntos!E18," - ")</f>
        <v>1.0288831835686778</v>
      </c>
      <c r="C18" s="859">
        <f>IF(ISNUMBER(NºAsuntos!I18/NºAsuntos!G18),NºAsuntos!I18/NºAsuntos!G18," - ")</f>
        <v>0.19681846537741735</v>
      </c>
      <c r="D18" s="862">
        <f>IF(ISNUMBER('Resol  Asuntos'!D18/NºAsuntos!G18),'Resol  Asuntos'!D18/NºAsuntos!G18," - ")</f>
        <v>0.13880224578914535</v>
      </c>
      <c r="E18" s="861">
        <f>IF(ISNUMBER((NºAsuntos!C18+NºAsuntos!E18)/NºAsuntos!G18),(NºAsuntos!C18+NºAsuntos!E18)/NºAsuntos!G18," - ")</f>
        <v>1.189020586400499</v>
      </c>
      <c r="G18" s="463"/>
    </row>
    <row r="19" spans="1:7" ht="15.75" customHeight="1" thickTop="1" thickBot="1">
      <c r="A19" s="793" t="str">
        <f>Datos!A19</f>
        <v>TOTAL JURISDICCIONES</v>
      </c>
      <c r="B19" s="808">
        <f>IF(ISNUMBER(NºAsuntos!G19/NºAsuntos!E19),NºAsuntos!G19/NºAsuntos!E19," - ")</f>
        <v>0.93403260457475046</v>
      </c>
      <c r="C19" s="809">
        <f>IF(ISNUMBER(NºAsuntos!I19/NºAsuntos!G19),NºAsuntos!I19/NºAsuntos!G19," - ")</f>
        <v>0.54011635773237721</v>
      </c>
      <c r="D19" s="810">
        <f>IF(ISNUMBER('Resol  Asuntos'!D19/NºAsuntos!G19),'Resol  Asuntos'!D19/NºAsuntos!G19," - ")</f>
        <v>0.2191854958733595</v>
      </c>
      <c r="E19" s="811">
        <f>IF(ISNUMBER((NºAsuntos!C19+NºAsuntos!E19)/NºAsuntos!G19),(NºAsuntos!C19+NºAsuntos!E19)/NºAsuntos!G19," - ")</f>
        <v>1.5367338655121092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uKOlJH9DIeLtxcodKWojcvO6NelyavRVnJs7yAJ/vgXPG2s1yqj0hY8fqceL6TOmldtWxX3LBtdHoN7FhcMng==" saltValue="YMEj9aaTuJEWDi5aszVj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GÜIMAR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564</v>
      </c>
      <c r="Y12" s="334">
        <f t="shared" si="0"/>
        <v>564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1172</v>
      </c>
      <c r="AJ12" s="229" t="str">
        <f>IF(ISNUMBER(Datos!BW12),Datos!BW12," - ")</f>
        <v xml:space="preserve"> - </v>
      </c>
      <c r="AK12" s="228" t="str">
        <f>IF(ISNUMBER(Datos!BX12),Datos!BX12," - ")</f>
        <v xml:space="preserve"> - </v>
      </c>
      <c r="AL12" s="243">
        <f>IF(ISNUMBER(NºAsuntos!G12/NºAsuntos!E12),NºAsuntos!G12/NºAsuntos!E12," - ")</f>
        <v>0.87179487179487181</v>
      </c>
      <c r="AM12" s="260">
        <f>IF(ISNUMBER(((NºAsuntos!I12/NºAsuntos!G12)*11)/factor_trimestre),((NºAsuntos!I12/NºAsuntos!G12)*11)/factor_trimestre," - ")</f>
        <v>8.8405069344811089</v>
      </c>
      <c r="AN12" s="244">
        <f>IF(ISNUMBER('Resol  Asuntos'!D12/NºAsuntos!G12),'Resol  Asuntos'!D12/NºAsuntos!G12," - ")</f>
        <v>0.2802486848397896</v>
      </c>
      <c r="AO12" s="245">
        <f>IF(ISNUMBER((NºAsuntos!C12+NºAsuntos!E12)/NºAsuntos!G12),(NºAsuntos!C12+NºAsuntos!E12)/NºAsuntos!G12," - ")</f>
        <v>1.8036824485891918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v>
      </c>
      <c r="G13" s="866">
        <f t="shared" si="3"/>
        <v>3</v>
      </c>
      <c r="H13" s="865">
        <f t="shared" si="3"/>
        <v>0</v>
      </c>
      <c r="I13" s="867">
        <f t="shared" si="3"/>
        <v>0</v>
      </c>
      <c r="J13" s="867">
        <f t="shared" si="3"/>
        <v>0</v>
      </c>
      <c r="K13" s="867">
        <f t="shared" si="3"/>
        <v>0</v>
      </c>
      <c r="L13" s="867">
        <f t="shared" si="3"/>
        <v>846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565</v>
      </c>
      <c r="Y13" s="868">
        <f t="shared" si="4"/>
        <v>568</v>
      </c>
      <c r="Z13" s="868">
        <f t="shared" si="4"/>
        <v>0</v>
      </c>
      <c r="AA13" s="868">
        <f t="shared" si="4"/>
        <v>0</v>
      </c>
      <c r="AB13" s="868">
        <f t="shared" si="4"/>
        <v>3820</v>
      </c>
      <c r="AC13" s="868">
        <f t="shared" si="4"/>
        <v>0</v>
      </c>
      <c r="AD13" s="868">
        <f t="shared" si="4"/>
        <v>0</v>
      </c>
      <c r="AE13" s="872">
        <f t="shared" si="4"/>
        <v>0</v>
      </c>
      <c r="AF13" s="865">
        <f t="shared" si="4"/>
        <v>0</v>
      </c>
      <c r="AG13" s="873">
        <f t="shared" si="4"/>
        <v>0</v>
      </c>
      <c r="AH13" s="870">
        <f t="shared" si="4"/>
        <v>0</v>
      </c>
      <c r="AI13" s="865">
        <f t="shared" si="4"/>
        <v>1175</v>
      </c>
      <c r="AJ13" s="867">
        <f t="shared" si="4"/>
        <v>0</v>
      </c>
      <c r="AK13" s="870">
        <f>SUBTOTAL(9,AK9:AK12)</f>
        <v>0</v>
      </c>
      <c r="AL13" s="874">
        <f>IF(ISNUMBER(NºAsuntos!G13/NºAsuntos!E13),NºAsuntos!G13/NºAsuntos!E13," - ")</f>
        <v>0.87242026266416506</v>
      </c>
      <c r="AM13" s="874">
        <f>IF(ISNUMBER(((NºAsuntos!I13/NºAsuntos!G13)*11)/factor_trimestre),((NºAsuntos!I13/NºAsuntos!G13)*11)/factor_trimestre," - ")</f>
        <v>8.8341696535244925</v>
      </c>
      <c r="AN13" s="875">
        <f>IF(ISNUMBER('Resol  Asuntos'!D13/NºAsuntos!G13),'Resol  Asuntos'!D13/NºAsuntos!G13," - ")</f>
        <v>0.2807646356033453</v>
      </c>
      <c r="AO13" s="876">
        <f>IF(ISNUMBER((NºAsuntos!C13+NºAsuntos!E13)/NºAsuntos!G13),(NºAsuntos!C13+NºAsuntos!E13)/NºAsuntos!G13," - ")</f>
        <v>1.8031063321385903</v>
      </c>
      <c r="AP13" s="877" t="str">
        <f t="shared" si="2"/>
        <v xml:space="preserve"> - </v>
      </c>
      <c r="AQ13" s="877">
        <f>IF(ISNUMBER((H13-W13+K13)/(F13)),(H13-W13+K13)/(F13)," - ")</f>
        <v>-1</v>
      </c>
      <c r="AR13" s="878">
        <f>IF(ISNUMBER((Datos!P13-Datos!Q13)/(Datos!R13-Datos!P13+Datos!Q13)),(Datos!P13-Datos!Q13)/(Datos!R13-Datos!P13+Datos!Q13)," - ")</f>
        <v>7.9400960723368177E-2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703</v>
      </c>
      <c r="G16" s="333">
        <f>IF(ISNUMBER(IF(D_I="SI",Datos!I16,Datos!I16+Datos!AC16)),IF(D_I="SI",Datos!I16,Datos!I16+Datos!AC16)," - ")</f>
        <v>679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3189</v>
      </c>
      <c r="X16" s="226">
        <f>IF(ISNUMBER(Datos!Q16),Datos!Q16," - ")</f>
        <v>76</v>
      </c>
      <c r="Y16" s="334">
        <f t="shared" ref="Y16:Y17" si="7">SUM(W16:X16)</f>
        <v>3265</v>
      </c>
      <c r="Z16" s="335" t="str">
        <f>IF(ISNUMBER(Datos!CC16),Datos!CC16," - ")</f>
        <v xml:space="preserve"> - </v>
      </c>
      <c r="AA16" s="332">
        <f>IF(ISNUMBER(IF(D_I="SI",Datos!L16,Datos!L16+Datos!AF16)),IF(D_I="SI",Datos!L16,Datos!L16+Datos!AF16)," - ")</f>
        <v>628</v>
      </c>
      <c r="AB16" s="334">
        <f>IF(ISNUMBER(Datos!R16),Datos!R16," - ")</f>
        <v>169</v>
      </c>
      <c r="AC16" s="334">
        <f t="shared" si="6"/>
        <v>797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445</v>
      </c>
      <c r="AJ16" s="231" t="str">
        <f>IF(ISNUMBER(Datos!BW16),Datos!BW16," - ")</f>
        <v xml:space="preserve"> - </v>
      </c>
      <c r="AK16" s="232" t="str">
        <f>IF(ISNUMBER(Datos!BX16),Datos!BX16," - ")</f>
        <v xml:space="preserve"> - </v>
      </c>
      <c r="AL16" s="243">
        <f>IF(ISNUMBER(NºAsuntos!G16/NºAsuntos!E16),NºAsuntos!G16/NºAsuntos!E16," - ")</f>
        <v>1.0240847784200386</v>
      </c>
      <c r="AM16" s="260">
        <f>IF(ISNUMBER(((NºAsuntos!I16/NºAsuntos!G16)*11)/factor_trimestre),((NºAsuntos!I16/NºAsuntos!G16)*11)/factor_trimestre," - ")</f>
        <v>2.1661962997804958</v>
      </c>
      <c r="AN16" s="244">
        <f>IF(ISNUMBER('Resol  Asuntos'!D16/NºAsuntos!G16),'Resol  Asuntos'!D16/NºAsuntos!G16," - ")</f>
        <v>0.13954217623079335</v>
      </c>
      <c r="AO16" s="245">
        <f>IF(ISNUMBER((NºAsuntos!C16+NºAsuntos!E16)/NºAsuntos!G16),(NºAsuntos!C16+NºAsuntos!E16)/NºAsuntos!G16," - ")</f>
        <v>1.1894010661649419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1</v>
      </c>
      <c r="Y17" s="334">
        <f t="shared" si="7"/>
        <v>18</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8.5</v>
      </c>
      <c r="AM17" s="260">
        <f>IF(ISNUMBER(((NºAsuntos!I17/NºAsuntos!G17)*11)/factor_trimestre),((NºAsuntos!I17/NºAsuntos!G17)*11)/factor_trimestre," - ")</f>
        <v>1.9411764705882355</v>
      </c>
      <c r="AN17" s="244">
        <f>IF(ISNUMBER('Resol  Asuntos'!D17/NºAsuntos!G17),'Resol  Asuntos'!D17/NºAsuntos!G17," - ")</f>
        <v>0</v>
      </c>
      <c r="AO17" s="245">
        <f>IF(ISNUMBER((NºAsuntos!C17+NºAsuntos!E17)/NºAsuntos!G17),(NºAsuntos!C17+NºAsuntos!E17)/NºAsuntos!G17," - ")</f>
        <v>1.1176470588235294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703</v>
      </c>
      <c r="G18" s="866">
        <f>SUBTOTAL(9,G15:G17)</f>
        <v>696</v>
      </c>
      <c r="H18" s="865">
        <f t="shared" ref="H18:O18" si="10">SUBTOTAL(9,H14:H17)</f>
        <v>0</v>
      </c>
      <c r="I18" s="867">
        <f t="shared" si="10"/>
        <v>0</v>
      </c>
      <c r="J18" s="867">
        <f t="shared" si="10"/>
        <v>0</v>
      </c>
      <c r="K18" s="867">
        <f t="shared" si="10"/>
        <v>0</v>
      </c>
      <c r="L18" s="867">
        <f t="shared" si="10"/>
        <v>110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3206</v>
      </c>
      <c r="X18" s="867">
        <f t="shared" si="11"/>
        <v>77</v>
      </c>
      <c r="Y18" s="868">
        <f t="shared" si="11"/>
        <v>3283</v>
      </c>
      <c r="Z18" s="868">
        <f t="shared" si="11"/>
        <v>0</v>
      </c>
      <c r="AA18" s="868">
        <f t="shared" si="11"/>
        <v>631</v>
      </c>
      <c r="AB18" s="868">
        <f t="shared" si="11"/>
        <v>169</v>
      </c>
      <c r="AC18" s="868">
        <f t="shared" si="11"/>
        <v>800</v>
      </c>
      <c r="AD18" s="868">
        <f t="shared" si="11"/>
        <v>0</v>
      </c>
      <c r="AE18" s="872">
        <f t="shared" si="11"/>
        <v>0</v>
      </c>
      <c r="AF18" s="865">
        <f t="shared" si="11"/>
        <v>0</v>
      </c>
      <c r="AG18" s="873">
        <f t="shared" si="11"/>
        <v>0</v>
      </c>
      <c r="AH18" s="870">
        <f t="shared" si="11"/>
        <v>0</v>
      </c>
      <c r="AI18" s="865">
        <f t="shared" si="11"/>
        <v>445</v>
      </c>
      <c r="AJ18" s="867">
        <f t="shared" si="11"/>
        <v>0</v>
      </c>
      <c r="AK18" s="870">
        <f t="shared" si="11"/>
        <v>0</v>
      </c>
      <c r="AL18" s="874">
        <f>IF(ISNUMBER(NºAsuntos!G18/NºAsuntos!E18),NºAsuntos!G18/NºAsuntos!E18," - ")</f>
        <v>1.0288831835686778</v>
      </c>
      <c r="AM18" s="874">
        <f>IF(ISNUMBER(((NºAsuntos!I18/NºAsuntos!G18)*11)/factor_trimestre),((NºAsuntos!I18/NºAsuntos!G18)*11)/factor_trimestre," - ")</f>
        <v>2.1650031191515908</v>
      </c>
      <c r="AN18" s="875">
        <f>IF(ISNUMBER('Resol  Asuntos'!D18/NºAsuntos!G18),'Resol  Asuntos'!D18/NºAsuntos!G18," - ")</f>
        <v>0.13880224578914535</v>
      </c>
      <c r="AO18" s="876">
        <f>IF(ISNUMBER((NºAsuntos!C18+NºAsuntos!E18)/NºAsuntos!G18),(NºAsuntos!C18+NºAsuntos!E18)/NºAsuntos!G18," - ")</f>
        <v>1.189020586400499</v>
      </c>
      <c r="AP18" s="877" t="str">
        <f t="shared" si="2"/>
        <v xml:space="preserve"> - </v>
      </c>
      <c r="AQ18" s="877">
        <f>IF(ISNUMBER((H18-W18+K18)/(F18)),(H18-W18+K18)/(F18)," - ")</f>
        <v>-4.560455192034139</v>
      </c>
      <c r="AR18" s="878">
        <f>IF(ISNUMBER((Datos!P18-Datos!Q18)/(Datos!R18-Datos!P18+Datos!Q18)),(Datos!P18-Datos!Q18)/(Datos!R18-Datos!P18+Datos!Q18)," - ")</f>
        <v>0.24264705882352941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706</v>
      </c>
      <c r="G19" s="821">
        <f t="shared" si="13"/>
        <v>699</v>
      </c>
      <c r="H19" s="820">
        <f t="shared" si="13"/>
        <v>0</v>
      </c>
      <c r="I19" s="822">
        <f t="shared" si="13"/>
        <v>0</v>
      </c>
      <c r="J19" s="822">
        <f t="shared" si="13"/>
        <v>0</v>
      </c>
      <c r="K19" s="881">
        <f t="shared" si="13"/>
        <v>0</v>
      </c>
      <c r="L19" s="822">
        <f t="shared" si="13"/>
        <v>956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3209</v>
      </c>
      <c r="X19" s="821">
        <f t="shared" si="14"/>
        <v>642</v>
      </c>
      <c r="Y19" s="828">
        <f t="shared" si="14"/>
        <v>3851</v>
      </c>
      <c r="Z19" s="828">
        <f t="shared" si="14"/>
        <v>0</v>
      </c>
      <c r="AA19" s="828">
        <f t="shared" si="14"/>
        <v>631</v>
      </c>
      <c r="AB19" s="828">
        <f t="shared" si="14"/>
        <v>3989</v>
      </c>
      <c r="AC19" s="828">
        <f t="shared" si="14"/>
        <v>800</v>
      </c>
      <c r="AD19" s="828">
        <f t="shared" si="14"/>
        <v>0</v>
      </c>
      <c r="AE19" s="830">
        <f t="shared" si="14"/>
        <v>0</v>
      </c>
      <c r="AF19" s="831">
        <f t="shared" si="14"/>
        <v>0</v>
      </c>
      <c r="AG19" s="832">
        <f t="shared" si="14"/>
        <v>0</v>
      </c>
      <c r="AH19" s="830">
        <f t="shared" si="14"/>
        <v>0</v>
      </c>
      <c r="AI19" s="820">
        <f t="shared" si="14"/>
        <v>1620</v>
      </c>
      <c r="AJ19" s="820">
        <f t="shared" si="14"/>
        <v>0</v>
      </c>
      <c r="AK19" s="830">
        <f t="shared" si="14"/>
        <v>0</v>
      </c>
      <c r="AL19" s="884">
        <f>IF(ISNUMBER(NºAsuntos!G19/NºAsuntos!E19),NºAsuntos!G19/NºAsuntos!E19," - ")</f>
        <v>0.93403260457475046</v>
      </c>
      <c r="AM19" s="885">
        <f>IF(ISNUMBER(((NºAsuntos!I19/NºAsuntos!G19)*11)/factor_trimestre),((NºAsuntos!I19/NºAsuntos!G19)*11)/factor_trimestre," - ")</f>
        <v>5.9412799350561496</v>
      </c>
      <c r="AN19" s="885">
        <f>IF(ISNUMBER('Resol  Asuntos'!D19/NºAsuntos!G19),'Resol  Asuntos'!D19/NºAsuntos!G19," - ")</f>
        <v>0.2191854958733595</v>
      </c>
      <c r="AO19" s="886">
        <f>IF(ISNUMBER((NºAsuntos!C19+NºAsuntos!E19)/NºAsuntos!G19),(NºAsuntos!C19+NºAsuntos!E19)/NºAsuntos!G19," - ")</f>
        <v>1.5367338655121092</v>
      </c>
      <c r="AP19" s="887" t="str">
        <f t="shared" si="2"/>
        <v xml:space="preserve"> - </v>
      </c>
      <c r="AQ19" s="888">
        <f>IF(OR(ISNUMBER(FIND("01",Criterios!A8,1)),ISNUMBER(FIND("02",Criterios!A8,1)),ISNUMBER(FIND("03",Criterios!A8,1)),ISNUMBER(FIND("04",Criterios!A8,1))),(I19-W19+K19)/(F19-K19),(H19-W19+K19)/(F19-K19))</f>
        <v>-4.5453257790368271</v>
      </c>
      <c r="AR19" s="889">
        <f>IF(ISNUMBER((Datos!P19-Datos!Q19)/(Datos!R19-Datos!P19+Datos!Q19)),(Datos!P19-Datos!Q19)/(Datos!R19-Datos!P19+Datos!Q19)," - ")</f>
        <v>8.5442176870748301E-2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279.60000000000002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404.14518843273805</v>
      </c>
      <c r="G21" s="253">
        <f>IF(ISNUMBER(STDEV(G8:G18)),STDEV(G8:G18),"-")</f>
        <v>372.45241306776359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1747.1633581322612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529.27648729185012</v>
      </c>
      <c r="AJ21" s="252">
        <f t="shared" si="18"/>
        <v>0</v>
      </c>
      <c r="AK21" s="254">
        <f t="shared" si="18"/>
        <v>0</v>
      </c>
      <c r="AL21" s="249">
        <f t="shared" si="18"/>
        <v>3.3776601083629187</v>
      </c>
      <c r="AM21" s="250">
        <f t="shared" si="18"/>
        <v>3.8410425738519423</v>
      </c>
      <c r="AN21" s="250">
        <f t="shared" si="18"/>
        <v>0.35559341132350525</v>
      </c>
      <c r="AO21" s="251">
        <f t="shared" si="18"/>
        <v>0.357582446417677</v>
      </c>
      <c r="AP21" s="291" t="str">
        <f t="shared" si="18"/>
        <v>-</v>
      </c>
      <c r="AQ21" s="292">
        <f t="shared" si="18"/>
        <v>2.517622010398191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QIh5VItFCVxI0fjnXuJPczbukDSQdFeWf03nC1vIlHyrdOD1gUgNX5DZiuFPI6Rea1ESOaHR+Z5rjmjrcjzhg==" saltValue="xm9qr7x8HW6vZlErz+o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GÜIMAR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-0.76923076923076927</v>
      </c>
      <c r="E10" s="348">
        <f>IF(ISNUMBER((Datos!J10-Datos!T10)/Datos!T10),(Datos!J10-Datos!T10)/Datos!T10," - ")</f>
        <v>-1</v>
      </c>
      <c r="F10" s="348">
        <f>IF(ISNUMBER((Datos!K10-Datos!U10)/Datos!U10),(Datos!K10-Datos!U10)/Datos!U10," - ")</f>
        <v>-0.75</v>
      </c>
      <c r="G10" s="349">
        <f>IF(ISNUMBER((Datos!L10-Datos!V10)/Datos!V10),(Datos!L10-Datos!V10)/Datos!V10," - ")</f>
        <v>-1</v>
      </c>
      <c r="H10" s="230">
        <f>IF(ISNUMBER((Datos!M10-Datos!W10)/Datos!W10),(Datos!M10-Datos!W10)/Datos!W10," - ")</f>
        <v>-0.7</v>
      </c>
      <c r="I10" s="350">
        <f>IF(ISNUMBER((Tasas!C10-Datos!BE10)/Datos!BE10),(Tasas!C10-Datos!BE10)/Datos!BE10," - ")</f>
        <v>-1</v>
      </c>
      <c r="J10" s="349">
        <f>IF(ISNUMBER((Tasas!D10-Datos!BF10)/Datos!BF10),(Tasas!D10-Datos!BF10)/Datos!BF10," - ")</f>
        <v>0.19999999999999996</v>
      </c>
      <c r="K10" s="351">
        <f>IF(ISNUMBER((Tasas!E10-Datos!BG10)/Datos!BG10),(Tasas!E10-Datos!BG10)/Datos!BG10," - ")</f>
        <v>-0.2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0.50064020486555694</v>
      </c>
      <c r="I12" s="350">
        <f>IF(ISNUMBER((Tasas!C12-Datos!BE12)/Datos!BE12),(Tasas!C12-Datos!BE12)/Datos!BE12," - ")</f>
        <v>-5.5248745795370979E-2</v>
      </c>
      <c r="J12" s="349">
        <f>IF(ISNUMBER((Tasas!D12-Datos!BF12)/Datos!BF12),(Tasas!D12-Datos!BF12)/Datos!BF12," - ")</f>
        <v>-0.36649667040417305</v>
      </c>
      <c r="K12" s="351">
        <f>IF(ISNUMBER((Tasas!E12-Datos!BG12)/Datos!BG12),(Tasas!E12-Datos!BG12)/Datos!BG12," - ")</f>
        <v>-2.7511784859543836E-2</v>
      </c>
      <c r="M12" t="e">
        <f>IF(Monitorios="SI",Datos!CE12,0)</f>
        <v>#REF!</v>
      </c>
      <c r="N12" t="e">
        <f>IF(Monitorios="SI",Datos!CF12,0)</f>
        <v>#REF!</v>
      </c>
      <c r="O12" t="e">
        <f>IF(Monitorios="SI",Datos!CG12,0)</f>
        <v>#REF!</v>
      </c>
      <c r="P12" t="e">
        <f>IF(Monitorios="SI",Datos!CH12,0)</f>
        <v>#REF!</v>
      </c>
      <c r="Q12">
        <f>IF(J_V="SI",0,Datos!AG12)</f>
        <v>40</v>
      </c>
      <c r="R12">
        <f>IF(J_V="SI",0,Datos!AH12)</f>
        <v>148</v>
      </c>
      <c r="S12">
        <f>IF(J_V="SI",0,Datos!AI12)</f>
        <v>165</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0.48546144121365359</v>
      </c>
      <c r="I13" s="357">
        <f>IF(ISNUMBER((Tasas!C13-Datos!BE13)/Datos!BE13),(Tasas!C13-Datos!BE13)/Datos!BE13," - ")</f>
        <v>-5.345052159729638E-2</v>
      </c>
      <c r="J13" s="355">
        <f>IF(ISNUMBER((Tasas!D13-Datos!BF13)/Datos!BF13),(Tasas!D13-Datos!BF13)/Datos!BF13," - ")</f>
        <v>-0.36740096011485479</v>
      </c>
      <c r="K13" s="358">
        <f>IF(ISNUMBER((Tasas!E13-Datos!BG13)/Datos!BG13),(Tasas!E13-Datos!BG13)/Datos!BG13," - ")</f>
        <v>-2.6647031634616403E-2</v>
      </c>
      <c r="M13" t="e">
        <f>IF(Monitorios="SI",Datos!CE13,0)</f>
        <v>#REF!</v>
      </c>
      <c r="N13" t="e">
        <f>IF(Monitorios="SI",Datos!CF13,0)</f>
        <v>#REF!</v>
      </c>
      <c r="O13" t="e">
        <f>IF(Monitorios="SI",Datos!CG13,0)</f>
        <v>#REF!</v>
      </c>
      <c r="P13" t="e">
        <f>IF(Monitorios="SI",Datos!CH13,0)</f>
        <v>#REF!</v>
      </c>
      <c r="Q13">
        <f>IF(J_V="SI",0,Datos!AG13)</f>
        <v>40</v>
      </c>
      <c r="R13">
        <f>IF(J_V="SI",0,Datos!AH13)</f>
        <v>148</v>
      </c>
      <c r="S13">
        <f>IF(J_V="SI",0,Datos!AI13)</f>
        <v>165</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-5.9556786703601108E-2</v>
      </c>
      <c r="E16" s="348">
        <f>IF(ISNUMBER(
   IF(D_I="SI",(Datos!J16-Datos!T16)/Datos!T16,(Datos!J16+Datos!AD16-(Datos!T16+Datos!AL16))/(Datos!T16+Datos!AL16))
     ),IF(D_I="SI",(Datos!J16-Datos!T16)/Datos!T16,(Datos!J16+Datos!AD16-(Datos!T16+Datos!AL16))/(Datos!T16+Datos!AL16))," - ")</f>
        <v>2.8401585204755615E-2</v>
      </c>
      <c r="F16" s="348">
        <f>IF(ISNUMBER(
   IF(D_I="SI",(Datos!K16-Datos!U16)/Datos!U16,(Datos!K16+Datos!AE16-(Datos!U16+Datos!AM16))/(Datos!U16+Datos!AM16))
     ),IF(D_I="SI",(Datos!K16-Datos!U16)/Datos!U16,(Datos!K16+Datos!AE16-(Datos!U16+Datos!AM16))/(Datos!U16+Datos!AM16))," - ")</f>
        <v>4.2497548218372018E-2</v>
      </c>
      <c r="G16" s="349">
        <f>IF(ISNUMBER(
   IF(D_I="SI",(Datos!L16-Datos!V16)/Datos!V16,(Datos!L16+Datos!AF16-(Datos!V16+Datos!AN16))/(Datos!V16+Datos!AN16))
     ),IF(D_I="SI",(Datos!L16-Datos!V16)/Datos!V16,(Datos!L16+Datos!AF16-(Datos!V16+Datos!AN16))/(Datos!V16+Datos!AN16))," - ")</f>
        <v>-7.511045655375552E-2</v>
      </c>
      <c r="H16" s="230">
        <f>IF(ISNUMBER((Datos!M16-Datos!W16)/Datos!W16),(Datos!M16-Datos!W16)/Datos!W16," - ")</f>
        <v>0.13810741687979539</v>
      </c>
      <c r="I16" s="350">
        <f>IF(ISNUMBER((Tasas!C16-Datos!BE16)/Datos!BE16),(Tasas!C16-Datos!BE16)/Datos!BE16," - ")</f>
        <v>-0.11281369915269304</v>
      </c>
      <c r="J16" s="349">
        <f>IF(ISNUMBER((Tasas!D16-Datos!BF16)/Datos!BF16),(Tasas!D16-Datos!BF16)/Datos!BF16," - ")</f>
        <v>9.1712319923265659E-2</v>
      </c>
      <c r="K16" s="351">
        <f>IF(ISNUMBER((Tasas!E16-Datos!BG16)/Datos!BG16),(Tasas!E16-Datos!BG16)/Datos!BG16," - ")</f>
        <v>-2.9765903627051459E-2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-0.61363636363636365</v>
      </c>
      <c r="E17" s="348">
        <f>IF(ISNUMBER(
   IF(D_I="SI",(Datos!J17-Datos!T17)/Datos!T17,(Datos!J17+Datos!AD17-(Datos!T17+Datos!AL17))/(Datos!T17+Datos!AL17))
     ),IF(D_I="SI",(Datos!J17-Datos!T17)/Datos!T17,(Datos!J17+Datos!AD17-(Datos!T17+Datos!AL17))/(Datos!T17+Datos!AL17))," - ")</f>
        <v>-0.81818181818181823</v>
      </c>
      <c r="F17" s="348">
        <f>IF(ISNUMBER(
   IF(D_I="SI",(Datos!K17-Datos!U17)/Datos!U17,(Datos!K17+Datos!AE17-(Datos!U17+Datos!AM17))/(Datos!U17+Datos!AM17))
     ),IF(D_I="SI",(Datos!K17-Datos!U17)/Datos!U17,(Datos!K17+Datos!AE17-(Datos!U17+Datos!AM17))/(Datos!U17+Datos!AM17))," - ")</f>
        <v>-0.5641025641025641</v>
      </c>
      <c r="G17" s="349">
        <f>IF(ISNUMBER(
   IF(D_I="SI",(Datos!L17-Datos!V17)/Datos!V17,(Datos!L17+Datos!AF17-(Datos!V17+Datos!AN17))/(Datos!V17+Datos!AN17))
     ),IF(D_I="SI",(Datos!L17-Datos!V17)/Datos!V17,(Datos!L17+Datos!AF17-(Datos!V17+Datos!AN17))/(Datos!V17+Datos!AN17))," - ")</f>
        <v>-0.82352941176470584</v>
      </c>
      <c r="H17" s="230">
        <f>IF(ISNUMBER((Datos!M17-Datos!W17)/Datos!W17),(Datos!M17-Datos!W17)/Datos!W17," - ")</f>
        <v>-1</v>
      </c>
      <c r="I17" s="350">
        <f>IF(ISNUMBER((Tasas!C17-Datos!BE17)/Datos!BE17),(Tasas!C17-Datos!BE17)/Datos!BE17," - ")</f>
        <v>-0.59515570934256046</v>
      </c>
      <c r="J17" s="349">
        <f>IF(ISNUMBER((Tasas!D17-Datos!BF17)/Datos!BF17),(Tasas!D17-Datos!BF17)/Datos!BF17," - ")</f>
        <v>-1</v>
      </c>
      <c r="K17" s="351">
        <f>IF(ISNUMBER((Tasas!E17-Datos!BG17)/Datos!BG17),(Tasas!E17-Datos!BG17)/Datos!BG17," - ")</f>
        <v>-0.20748663101604281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-9.1383812010443863E-2</v>
      </c>
      <c r="E18" s="354">
        <f>IF(ISNUMBER(
   IF(D_I="SI",(Datos!J18-Datos!T18)/Datos!T18,(Datos!J18+Datos!AD18-(Datos!T18+Datos!AL18))/(Datos!T18+Datos!AL18))
     ),IF(D_I="SI",(Datos!J18-Datos!T18)/Datos!T18,(Datos!J18+Datos!AD18-(Datos!T18+Datos!AL18))/(Datos!T18+Datos!AL18))," - ")</f>
        <v>2.5337282000658112E-2</v>
      </c>
      <c r="F18" s="354">
        <f>IF(ISNUMBER(
   IF(D_I="SI",(Datos!K18-Datos!U18)/Datos!U18,(Datos!K18+Datos!AE18-(Datos!U18+Datos!AM18))/(Datos!U18+Datos!AM18))
     ),IF(D_I="SI",(Datos!K18-Datos!U18)/Datos!U18,(Datos!K18+Datos!AE18-(Datos!U18+Datos!AM18))/(Datos!U18+Datos!AM18))," - ")</f>
        <v>3.4861200774693353E-2</v>
      </c>
      <c r="G18" s="355">
        <f>IF(ISNUMBER(
   IF(D_I="SI",(Datos!L18-Datos!V18)/Datos!V18,(Datos!L18+Datos!AF18-(Datos!V18+Datos!AN18))/(Datos!V18+Datos!AN18))
     ),IF(D_I="SI",(Datos!L18-Datos!V18)/Datos!V18,(Datos!L18+Datos!AF18-(Datos!V18+Datos!AN18))/(Datos!V18+Datos!AN18))," - ")</f>
        <v>-9.3390804597701146E-2</v>
      </c>
      <c r="H18" s="356">
        <f>IF(ISNUMBER((Datos!M18-Datos!W18)/Datos!W18),(Datos!M18-Datos!W18)/Datos!W18," - ")</f>
        <v>0.12944162436548223</v>
      </c>
      <c r="I18" s="357">
        <f>IF(ISNUMBER((Tasas!C18-Datos!BE18)/Datos!BE18),(Tasas!C18-Datos!BE18)/Datos!BE18," - ")</f>
        <v>-0.12393160094936936</v>
      </c>
      <c r="J18" s="355">
        <f>IF(ISNUMBER((Tasas!D18-Datos!BF18)/Datos!BF18),(Tasas!D18-Datos!BF18)/Datos!BF18," - ")</f>
        <v>9.1394308260843271E-2</v>
      </c>
      <c r="K18" s="358">
        <f>IF(ISNUMBER((Tasas!E18-Datos!BG18)/Datos!BG18),(Tasas!E18-Datos!BG18)/Datos!BG18," - ")</f>
        <v>-3.1909125711236309E-2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4.4889293296936611E-2</v>
      </c>
      <c r="E19" s="363">
        <f>IF(ISNUMBER(
   IF(J_V="SI",(Datos!J19-Datos!T19)/Datos!T19,(Datos!J19+Datos!Z19-(Datos!T19+Datos!AH19))/(Datos!T19+Datos!AH19))
     ),IF(J_V="SI",(Datos!J19-Datos!T19)/Datos!T19,(Datos!J19+Datos!Z19-(Datos!T19+Datos!AH19))/(Datos!T19+Datos!AH19))," - ")</f>
        <v>0.21551459293394779</v>
      </c>
      <c r="F19" s="363">
        <f>IF(ISNUMBER(
   IF(J_V="SI",(Datos!K19-Datos!U19)/Datos!U19,(Datos!K19+Datos!AA19-(Datos!U19+Datos!AI19))/(Datos!U19+Datos!AI19))
     ),IF(J_V="SI",(Datos!K19-Datos!U19)/Datos!U19,(Datos!K19+Datos!AA19-(Datos!U19+Datos!AI19))/(Datos!U19+Datos!AI19))," - ")</f>
        <v>0.16614073840328178</v>
      </c>
      <c r="G19" s="364">
        <f>IF(ISNUMBER(
   IF(J_V="SI",(Datos!L19-Datos!V19)/Datos!V19,(Datos!L19+Datos!AB19-(Datos!V19+Datos!AJ19))/(Datos!V19+Datos!AJ19))
     ),IF(J_V="SI",(Datos!L19-Datos!V19)/Datos!V19,(Datos!L19+Datos!AB19-(Datos!V19+Datos!AJ19))/(Datos!V19+Datos!AJ19))," - ")</f>
        <v>0.15878084179970972</v>
      </c>
      <c r="H19" s="365">
        <f>IF(ISNUMBER((Datos!M19-Datos!W19)/Datos!W19),(Datos!M19-Datos!W19)/Datos!W19," - ")</f>
        <v>0.36708860759493672</v>
      </c>
      <c r="I19" s="362">
        <f>IF(ISNUMBER((Tasas!C19-Datos!BE19)/Datos!BE19),(Tasas!C19-Datos!BE19)/Datos!BE19," - ")</f>
        <v>-6.311327922262194E-3</v>
      </c>
      <c r="J19" s="363">
        <f>IF(ISNUMBER((Tasas!D19-Datos!BF19)/Datos!BF19),(Tasas!D19-Datos!BF19)/Datos!BF19," - ")</f>
        <v>-0.24170432704948</v>
      </c>
      <c r="K19" s="364">
        <f>IF(ISNUMBER((Tasas!E19-Datos!BG19)/Datos!BG19),(Tasas!E19-Datos!BG19)/Datos!BG19," - ")</f>
        <v>-6.8502865692109645E-3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0.36148860548371792</v>
      </c>
      <c r="E21" s="278">
        <f t="shared" si="1"/>
        <v>0.54545252885167117</v>
      </c>
      <c r="F21" s="278">
        <f t="shared" si="1"/>
        <v>0.40879874090568263</v>
      </c>
      <c r="G21" s="279">
        <f t="shared" si="1"/>
        <v>0.4832244353123909</v>
      </c>
      <c r="H21" s="285">
        <f t="shared" si="1"/>
        <v>0.62911645983781594</v>
      </c>
      <c r="I21" s="277">
        <f t="shared" si="1"/>
        <v>0.39001301701890007</v>
      </c>
      <c r="J21" s="278">
        <f t="shared" si="1"/>
        <v>0.45209761972108453</v>
      </c>
      <c r="K21" s="279">
        <f t="shared" si="1"/>
        <v>9.0308152890404461E-2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dDUkvs5gr6FGFpqNxArsYSvxBEQX59BZi4VJ4ai+385NNDoPBm4s7iGrtJf+zuXU16BvT7K2AKGpwzKdNHa7w==" saltValue="y/6fO0A73ezVTQWIMngx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